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840" activeTab="2"/>
  </bookViews>
  <sheets>
    <sheet name="May 12(1)" sheetId="1" r:id="rId1"/>
    <sheet name="May 12(2)" sheetId="2" r:id="rId2"/>
    <sheet name="May 12(3)" sheetId="3" r:id="rId3"/>
    <sheet name="May 12 (4&amp;5)" sheetId="4" r:id="rId4"/>
    <sheet name="May 12(6)" sheetId="5" r:id="rId5"/>
    <sheet name="May 12(7)" sheetId="6" r:id="rId6"/>
    <sheet name="Dec 09 (7)" sheetId="7" state="hidden" r:id="rId7"/>
    <sheet name="WL (8&amp;9)" sheetId="8" r:id="rId8"/>
    <sheet name="WLL (10&amp;11)" sheetId="9" r:id="rId9"/>
    <sheet name="Mobile (12&amp;13)" sheetId="10" r:id="rId10"/>
    <sheet name="Total (14&amp;15)" sheetId="11" r:id="rId11"/>
    <sheet name="TD-WD" sheetId="12" state="hidden" r:id="rId12"/>
    <sheet name="WD-CD" sheetId="13" state="hidden" r:id="rId13"/>
    <sheet name="BB-INTER" sheetId="14" state="hidden" r:id="rId14"/>
    <sheet name="Sheet1" sheetId="15" state="hidden" r:id="rId15"/>
  </sheets>
  <externalReferences>
    <externalReference r:id="rId18"/>
  </externalReferences>
  <definedNames>
    <definedName name="_xlnm.Print_Area" localSheetId="13">'BB-INTER'!$A$11:$M$49</definedName>
    <definedName name="_xlnm.Print_Area" localSheetId="6">'Dec 09 (7)'!$A$1:$P$38</definedName>
    <definedName name="_xlnm.Print_Area" localSheetId="3">'May 12 (4&amp;5)'!$A$1:$AU$37</definedName>
    <definedName name="_xlnm.Print_Area" localSheetId="0">'May 12(1)'!$A$1:$Z$35</definedName>
    <definedName name="_xlnm.Print_Area" localSheetId="1">'May 12(2)'!$A$1:$AL$36</definedName>
    <definedName name="_xlnm.Print_Area" localSheetId="2">'May 12(3)'!$A$1:$Z$35</definedName>
    <definedName name="_xlnm.Print_Area" localSheetId="4">'May 12(6)'!$A$1:$AC$36</definedName>
    <definedName name="_xlnm.Print_Area" localSheetId="5">'May 12(7)'!$A$1:$Z$37</definedName>
    <definedName name="_xlnm.Print_Area" localSheetId="9">'Mobile (12&amp;13)'!$A$1:$F$94</definedName>
    <definedName name="_xlnm.Print_Area" localSheetId="11">'TD-WD'!$A$10:$M$48</definedName>
    <definedName name="_xlnm.Print_Area" localSheetId="12">'WD-CD'!$A$10:$M$48</definedName>
    <definedName name="_xlnm.Print_Area" localSheetId="7">'WL (8&amp;9)'!$A$1:$F$93</definedName>
    <definedName name="_xlnm.Print_Area" localSheetId="8">'WLL (10&amp;11)'!$A$1:$F$93</definedName>
    <definedName name="_xlnm.Print_Titles" localSheetId="3">'May 12 (4&amp;5)'!$A:$B</definedName>
    <definedName name="_xlnm.Print_Titles" localSheetId="0">'May 12(1)'!$A:$B</definedName>
    <definedName name="_xlnm.Print_Titles" localSheetId="1">'May 12(2)'!$A:$B</definedName>
    <definedName name="_xlnm.Print_Titles" localSheetId="2">'May 12(3)'!$A:$B</definedName>
    <definedName name="_xlnm.Print_Titles" localSheetId="4">'May 12(6)'!$A:$B</definedName>
    <definedName name="_xlnm.Print_Titles" localSheetId="5">'May 12(7)'!$A:$B</definedName>
    <definedName name="_xlnm.Print_Titles" localSheetId="9">'Mobile (12&amp;13)'!$3:$5</definedName>
    <definedName name="_xlnm.Print_Titles" localSheetId="10">'Total (14&amp;15)'!$3:$5</definedName>
    <definedName name="_xlnm.Print_Titles" localSheetId="7">'WL (8&amp;9)'!$2:$4</definedName>
    <definedName name="_xlnm.Print_Titles" localSheetId="8">'WLL (10&amp;11)'!$2:$4</definedName>
  </definedNames>
  <calcPr fullCalcOnLoad="1"/>
</workbook>
</file>

<file path=xl/comments6.xml><?xml version="1.0" encoding="utf-8"?>
<comments xmlns="http://schemas.openxmlformats.org/spreadsheetml/2006/main">
  <authors>
    <author>clkoul</author>
  </authors>
  <commentList>
    <comment ref="AB2" authorId="0">
      <text>
        <r>
          <rPr>
            <b/>
            <sz val="9"/>
            <rFont val="Tahoma"/>
            <family val="2"/>
          </rPr>
          <t>clkoul: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<sst xmlns="http://schemas.openxmlformats.org/spreadsheetml/2006/main" count="1160" uniqueCount="220">
  <si>
    <t>During the Month</t>
  </si>
  <si>
    <t>Cell Phones</t>
  </si>
  <si>
    <t>Total</t>
  </si>
  <si>
    <t>Assam</t>
  </si>
  <si>
    <t xml:space="preserve"> </t>
  </si>
  <si>
    <t>Chhattisgarh</t>
  </si>
  <si>
    <t>Jharkhand</t>
  </si>
  <si>
    <t>UP (E)</t>
  </si>
  <si>
    <t>UP(W)</t>
  </si>
  <si>
    <t>Kolkata</t>
  </si>
  <si>
    <t>Chennai</t>
  </si>
  <si>
    <t>BSNL</t>
  </si>
  <si>
    <t>NE-II</t>
  </si>
  <si>
    <t>NE-I</t>
  </si>
  <si>
    <t>During the month</t>
  </si>
  <si>
    <t>28)   CMD, BSNL</t>
  </si>
  <si>
    <t>To</t>
  </si>
  <si>
    <t>Name of Circles/ Metro Districts</t>
  </si>
  <si>
    <t>S. No.</t>
  </si>
  <si>
    <t>1) to 26) All CGMs Telecom Circle/ Metro District, BSNL</t>
  </si>
  <si>
    <t xml:space="preserve"> WLL    (F &amp; M)</t>
  </si>
  <si>
    <t xml:space="preserve"> WLL       (F &amp; M)</t>
  </si>
  <si>
    <t xml:space="preserve"> WLL   (F &amp; M)</t>
  </si>
  <si>
    <t xml:space="preserve"> WLL (F &amp; M)</t>
  </si>
  <si>
    <t xml:space="preserve">Net Achievements In Equipped Capacity (Tentative) </t>
  </si>
  <si>
    <t xml:space="preserve">Net Achievements In DELs </t>
  </si>
  <si>
    <t>Wiredline Phones</t>
  </si>
  <si>
    <t xml:space="preserve">Surrender of DELs during the month </t>
  </si>
  <si>
    <t>Surrender of DELs includes Disconnection due to nonpayment</t>
  </si>
  <si>
    <t>Note: 1. # Figures are as per MIS report, 2. Bold = Good Performance.</t>
  </si>
  <si>
    <t>Copy To : - 27)  O/c</t>
  </si>
  <si>
    <t>Bihar</t>
  </si>
  <si>
    <t>Gujarat</t>
  </si>
  <si>
    <t>J &amp; K</t>
  </si>
  <si>
    <t>Karnatak</t>
  </si>
  <si>
    <t>Kerala</t>
  </si>
  <si>
    <t>Maharashtra</t>
  </si>
  <si>
    <t xml:space="preserve">Punjab </t>
  </si>
  <si>
    <t>Proportionate Target</t>
  </si>
  <si>
    <t>A &amp; N</t>
  </si>
  <si>
    <t>W. Bengal</t>
  </si>
  <si>
    <t>Month</t>
  </si>
  <si>
    <t xml:space="preserve">Proportionate Targets for </t>
  </si>
  <si>
    <t>DELs &amp; Equipped Capacity</t>
  </si>
  <si>
    <t>Clearance of Waiting List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</si>
  <si>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</si>
  <si>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</si>
  <si>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</si>
  <si>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</si>
  <si>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</si>
  <si>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</si>
  <si>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</si>
  <si>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</si>
  <si>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</si>
  <si>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</si>
  <si>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</si>
  <si>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</t>
  </si>
  <si>
    <t>Cumulative</t>
  </si>
  <si>
    <t>29) to 33)  Dir (Plg &amp; NS),  Dir (Opn.), Dir (C&amp;M), Dir (HRD), Dir (F) BSNL</t>
  </si>
  <si>
    <t xml:space="preserve">34) &amp; 35)   Sr. DDG (LTP) BSNL, CS &amp; GM (Legal) </t>
  </si>
  <si>
    <t>2. Bold = Good Performance.</t>
  </si>
  <si>
    <t>Equipment in hand for commisioning at the end of current month</t>
  </si>
  <si>
    <t>Pending order for Equipment at the end of current month</t>
  </si>
  <si>
    <t>No. of months</t>
  </si>
  <si>
    <t>FWT</t>
  </si>
  <si>
    <t>Andhra Prad</t>
  </si>
  <si>
    <t>Haryana</t>
  </si>
  <si>
    <t>Himachal Pr</t>
  </si>
  <si>
    <t>Madhya Pr.</t>
  </si>
  <si>
    <t>Orissa</t>
  </si>
  <si>
    <t>Rajasthan</t>
  </si>
  <si>
    <t>Tamilnadu</t>
  </si>
  <si>
    <t>Uttranchal</t>
  </si>
  <si>
    <t xml:space="preserve">Note: 1. # Figures are as per MIS report, </t>
  </si>
  <si>
    <t>Gross Telephone connection provided</t>
  </si>
  <si>
    <t xml:space="preserve">During the month </t>
  </si>
  <si>
    <t>Status at the end of previous month #</t>
  </si>
  <si>
    <t xml:space="preserve">No. of telephone connection Surrender by customer </t>
  </si>
  <si>
    <t>No. of telephone connection disconnected due to Non-Payment</t>
  </si>
  <si>
    <t>Status as on 31.03.2008 #</t>
  </si>
  <si>
    <t>36) to 39) DDG(TX)/ SW/ CMTS/BB</t>
  </si>
  <si>
    <t>Equipment in Hand at the end of current month</t>
  </si>
  <si>
    <t>Pending Equipment order at the end of current month</t>
  </si>
  <si>
    <t>Internet Working Connections</t>
  </si>
  <si>
    <t>Internet Equipped Capacity</t>
  </si>
  <si>
    <t>Net Achievements In Equipped Capacity</t>
  </si>
  <si>
    <t xml:space="preserve">Net Achievements In Connections </t>
  </si>
  <si>
    <t xml:space="preserve">Internet </t>
  </si>
  <si>
    <t xml:space="preserve">Net Achievements In Equipped Capacity </t>
  </si>
  <si>
    <t xml:space="preserve">Net Achievements in Connections </t>
  </si>
  <si>
    <t>Interpreted</t>
  </si>
  <si>
    <t>Target (Internal)</t>
  </si>
  <si>
    <t>Target</t>
  </si>
  <si>
    <t>Cell Phones (MOU-V. Good)</t>
  </si>
  <si>
    <t xml:space="preserve"> WLL(F &amp; M) (MOU-V. Good)</t>
  </si>
  <si>
    <t xml:space="preserve">Status at the end of previous month </t>
  </si>
  <si>
    <t>as per BB Cell</t>
  </si>
  <si>
    <t>Note: 1. # Figures are as per MIS report, 2. Bold = Good Performance</t>
  </si>
  <si>
    <t>Status as on 31.03.2009 #</t>
  </si>
  <si>
    <t>Cumulative since 1.4.2009</t>
  </si>
  <si>
    <t xml:space="preserve">Target </t>
  </si>
  <si>
    <t>(as per BB Cell)</t>
  </si>
  <si>
    <t>.</t>
  </si>
  <si>
    <t>-</t>
  </si>
  <si>
    <t>---</t>
  </si>
  <si>
    <t>Sub: Month wise achievement of DELs during 2009-10</t>
  </si>
  <si>
    <t>Total DELs (In Lakh)</t>
  </si>
  <si>
    <t>Wireline DELs (In Lakh)</t>
  </si>
  <si>
    <t>WLL DELs (In Lakh)</t>
  </si>
  <si>
    <t>Cellular mobile DELs (In Lakh)</t>
  </si>
  <si>
    <t>Note: 1. # Figures are as per MIS report, 2. Bold = Good Performance, 3. Status at the end of previous month.</t>
  </si>
  <si>
    <t>Note: Achievement data upto August 2009 as per MIS</t>
  </si>
  <si>
    <t>Broadband connection (In Lakh)</t>
  </si>
  <si>
    <t>Internet Connection (in Nos)</t>
  </si>
  <si>
    <t>Page-8/10</t>
  </si>
  <si>
    <t>Page-9/10</t>
  </si>
  <si>
    <t>Annexure-9</t>
  </si>
  <si>
    <t>Page-10/10</t>
  </si>
  <si>
    <t>Annexure-10</t>
  </si>
  <si>
    <t>Annexure-8</t>
  </si>
  <si>
    <t>Circle</t>
  </si>
  <si>
    <t>Figures</t>
  </si>
  <si>
    <t>Gross</t>
  </si>
  <si>
    <t>Disconnection</t>
  </si>
  <si>
    <t>Net</t>
  </si>
  <si>
    <t>Himachal Pradesh</t>
  </si>
  <si>
    <t>Karnataka</t>
  </si>
  <si>
    <t>Madhya Pradesh</t>
  </si>
  <si>
    <t>Andhra Pradadesh</t>
  </si>
  <si>
    <t>Note: Achievement data upto September 2009 as per MIS</t>
  </si>
  <si>
    <t>Page 4/15</t>
  </si>
  <si>
    <t>Page 5/15</t>
  </si>
  <si>
    <t>Page 6/15</t>
  </si>
  <si>
    <t>Page 7/15</t>
  </si>
  <si>
    <t>Page 8/15</t>
  </si>
  <si>
    <t>Page 10/15</t>
  </si>
  <si>
    <t>Page 12/15</t>
  </si>
  <si>
    <t>Page 14/15</t>
  </si>
  <si>
    <t>Working Connections</t>
  </si>
  <si>
    <t>Equipped Capacity</t>
  </si>
  <si>
    <t>Wrieless Broadband</t>
  </si>
  <si>
    <t>3-G</t>
  </si>
  <si>
    <t>EVDO</t>
  </si>
  <si>
    <t xml:space="preserve">Working connection as on </t>
  </si>
  <si>
    <t xml:space="preserve">Net Achievements </t>
  </si>
  <si>
    <t>Wired line Phones</t>
  </si>
  <si>
    <t>#</t>
  </si>
  <si>
    <t>Total Broadband (wireline+wireless) achievement</t>
  </si>
  <si>
    <t>Total in Million</t>
  </si>
  <si>
    <t>BSNL Figures      (in Million)</t>
  </si>
  <si>
    <t>Anticipated Ach. during 2009-10</t>
  </si>
  <si>
    <t>Status as on 31.03.2010</t>
  </si>
  <si>
    <t>Status as on 31.03.2009</t>
  </si>
  <si>
    <t>Status as on 31.01.2010</t>
  </si>
  <si>
    <t>2010-11</t>
  </si>
  <si>
    <t>Status at the end of the year</t>
  </si>
  <si>
    <t>2011-12</t>
  </si>
  <si>
    <t>Target during the year</t>
  </si>
  <si>
    <t>Telephone Connection</t>
  </si>
  <si>
    <t>Broadband Connection</t>
  </si>
  <si>
    <t>WLL</t>
  </si>
  <si>
    <t>CMTS</t>
  </si>
  <si>
    <t>Status at the end of current month i.e. 28.02.2010</t>
  </si>
  <si>
    <t>Sub: Status of achievement in Equipped Capacity &amp; working Connections of  Internet as on 28.02.2010</t>
  </si>
  <si>
    <t>WiMax</t>
  </si>
  <si>
    <t>(MIS)</t>
  </si>
  <si>
    <t>Targets for equipped Capacity during 2010-11</t>
  </si>
  <si>
    <t>Cumulative since 1.4.2011</t>
  </si>
  <si>
    <t>Status as on 31.03.2011 #</t>
  </si>
  <si>
    <t>Status as on 30.04.2011 (as per BB Cell)</t>
  </si>
  <si>
    <t>%age loading as on 30.04.11</t>
  </si>
  <si>
    <t>DSL</t>
  </si>
  <si>
    <t>FTTH</t>
  </si>
  <si>
    <t xml:space="preserve">4. 3G Facility has given to all 2G connections </t>
  </si>
  <si>
    <t xml:space="preserve">No.1-2(1)/2012-CP&amp;M-LTP    </t>
  </si>
  <si>
    <t>Status of DELs as on 31.03.2012#</t>
  </si>
  <si>
    <t>Target for DELs during 2012-13</t>
  </si>
  <si>
    <t>Cumulative since 1.4.2012</t>
  </si>
  <si>
    <t>Cumulative Surrender of DELs since 1.4.2012</t>
  </si>
  <si>
    <t>Cumulative  since 1.4.2012</t>
  </si>
  <si>
    <t>Status of Waiting list as on 31.03.2012#</t>
  </si>
  <si>
    <t>Pending W. L. registered prior to 31.03.12 at the end of current month</t>
  </si>
  <si>
    <t>Reduction in Waiting list prior to 31/3/2012</t>
  </si>
  <si>
    <t>Cumulative since 01.04.2012</t>
  </si>
  <si>
    <t>Pending W.L. registered prior to 31.03.12 at the end of previous month</t>
  </si>
  <si>
    <t>Percentage Increase in loading during 2012-13</t>
  </si>
  <si>
    <t>Percentage loading as on 31.03.2012</t>
  </si>
  <si>
    <t>Cumulative since 1.4.12</t>
  </si>
  <si>
    <t>Target for 2012-13 (Internal)</t>
  </si>
  <si>
    <t>31.03.2012</t>
  </si>
  <si>
    <t>30.04.2012</t>
  </si>
  <si>
    <t>Sub: Monthwise Gross, Disconnection and Net Wireline connections from April'12</t>
  </si>
  <si>
    <t>Sub: Monthwise Gross, Disconnection and Net WLL connections from April'2012</t>
  </si>
  <si>
    <t>Sub: Monthwise Gross, Disconnection and Net Mobile connections from April'2012</t>
  </si>
  <si>
    <t>Sub: Monthwise Gross, Disconnection and Net Total telephone connections from April'2012</t>
  </si>
  <si>
    <t>Status of Equipped Capacity as on 31.03.2012#</t>
  </si>
  <si>
    <t>Equipped Capacity at the end of previous month#</t>
  </si>
  <si>
    <t>% Surrender/ disconnection of Telephones during 2009-10 till the end of current Month w.r.t DELs as on 31/3/12</t>
  </si>
  <si>
    <t>Page 1/15</t>
  </si>
  <si>
    <t>Page 2/15</t>
  </si>
  <si>
    <t>Page 3/15</t>
  </si>
  <si>
    <t>Sub: Monthly Report on Status, Target and Achievement in DELs (Net) as on 31.05.2012</t>
  </si>
  <si>
    <t>Sub: Monthly Report on Surrender of DELs &amp; Gross Connection provided as on 31.05.2012</t>
  </si>
  <si>
    <t>Sub: Monthly Report on Waiting List and Reduction in waiting list as on 31.05.2012</t>
  </si>
  <si>
    <t>Status of Waiting list as on 31.05.2012#</t>
  </si>
  <si>
    <t>Percentage loading as on 31.05.2012</t>
  </si>
  <si>
    <t>Sub: Monthly Report on Status and Achievement in Equipped Capacity as on 31.05.12</t>
  </si>
  <si>
    <t>Equipped Capacity at the end of current month i.e. 31.05.12#</t>
  </si>
  <si>
    <t>Sub: Status of achievement in Equipped Capacity &amp; working Connections of Wireline Broadband as on 31.05.2012</t>
  </si>
  <si>
    <t>Status as on 31.05.2012</t>
  </si>
  <si>
    <t>Total (Wireline + Wireless) Broadnand conection as on 31.05.2012</t>
  </si>
  <si>
    <t>Sub: Status of achievement in  working Connections of Wireless Broadband as on 31.05.2012</t>
  </si>
  <si>
    <t>31.05.2012</t>
  </si>
  <si>
    <t>Status of DELs as on 31.05.2012#</t>
  </si>
  <si>
    <t>Status of DELs at the end of previous month i.e. 30.04.12#</t>
  </si>
  <si>
    <t>Cumulative Surrender  by customer of DELs since 1.4.2012(upto 31.05.12)</t>
  </si>
  <si>
    <t>Cumulative disconnected due to Non-Payment of DELs since 1.4.2012(upto 31.05.12)</t>
  </si>
  <si>
    <t>Cumulative Surrender/  disconnected  of DELs since 1.4.2012(upto 31.05.12)</t>
  </si>
  <si>
    <t>Status as on 30.04.2012 (Privious month)</t>
  </si>
  <si>
    <t>Status as on 31.03.2012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</si>
</sst>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00"/>
    <numFmt numFmtId="190" formatCode="0.000000"/>
    <numFmt numFmtId="191" formatCode="0.00000"/>
    <numFmt numFmtId="192" formatCode="0.0000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#,##0.00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0">
    <xf numFmtId="0" fontId="0" fillId="0" borderId="0" xfId="0" applyAlignment="1">
      <alignment/>
    </xf>
    <xf numFmtId="0" fontId="1" fillId="24" borderId="0" xfId="15" applyFont="1" applyFill="1" applyAlignment="1" applyProtection="1">
      <alignment horizontal="center" vertical="center"/>
      <protection/>
    </xf>
    <xf numFmtId="0" fontId="0" fillId="24" borderId="0" xfId="15" applyFont="1" applyFill="1" applyAlignment="1" applyProtection="1">
      <alignment horizontal="center" vertical="center"/>
      <protection locked="0"/>
    </xf>
    <xf numFmtId="0" fontId="1" fillId="24" borderId="0" xfId="15" applyFont="1" applyFill="1" applyAlignment="1" applyProtection="1">
      <alignment horizontal="center" vertical="center"/>
      <protection locked="0"/>
    </xf>
    <xf numFmtId="0" fontId="2" fillId="24" borderId="0" xfId="15" applyFont="1" applyFill="1" applyAlignment="1" applyProtection="1">
      <alignment horizontal="center" vertical="center"/>
      <protection locked="0"/>
    </xf>
    <xf numFmtId="0" fontId="2" fillId="24" borderId="0" xfId="15" applyFont="1" applyFill="1" applyAlignment="1" applyProtection="1">
      <alignment horizontal="center" vertical="center"/>
      <protection/>
    </xf>
    <xf numFmtId="0" fontId="1" fillId="24" borderId="0" xfId="15" applyFont="1" applyFill="1" applyBorder="1" applyAlignment="1" applyProtection="1">
      <alignment horizontal="center" vertical="center"/>
      <protection locked="0"/>
    </xf>
    <xf numFmtId="1" fontId="2" fillId="24" borderId="0" xfId="15" applyNumberFormat="1" applyFont="1" applyFill="1" applyBorder="1" applyAlignment="1" applyProtection="1">
      <alignment horizontal="center" vertical="center"/>
      <protection locked="0"/>
    </xf>
    <xf numFmtId="0" fontId="2" fillId="24" borderId="0" xfId="15" applyFont="1" applyFill="1" applyBorder="1" applyAlignment="1" applyProtection="1">
      <alignment horizontal="center" vertical="center"/>
      <protection locked="0"/>
    </xf>
    <xf numFmtId="1" fontId="5" fillId="24" borderId="0" xfId="15" applyNumberFormat="1" applyFont="1" applyFill="1" applyBorder="1" applyAlignment="1" applyProtection="1">
      <alignment horizontal="center" vertical="center"/>
      <protection locked="0"/>
    </xf>
    <xf numFmtId="0" fontId="6" fillId="24" borderId="0" xfId="15" applyFont="1" applyFill="1" applyAlignment="1" applyProtection="1">
      <alignment horizontal="center" vertical="center"/>
      <protection/>
    </xf>
    <xf numFmtId="0" fontId="8" fillId="24" borderId="0" xfId="15" applyFont="1" applyFill="1" applyBorder="1" applyAlignment="1" applyProtection="1">
      <alignment horizontal="center" vertical="center"/>
      <protection locked="0"/>
    </xf>
    <xf numFmtId="0" fontId="3" fillId="24" borderId="10" xfId="15" applyFont="1" applyFill="1" applyBorder="1" applyAlignment="1" applyProtection="1">
      <alignment horizontal="center" vertical="center" wrapText="1"/>
      <protection/>
    </xf>
    <xf numFmtId="0" fontId="3" fillId="24" borderId="0" xfId="15" applyFont="1" applyFill="1" applyAlignment="1" applyProtection="1">
      <alignment vertical="center"/>
      <protection/>
    </xf>
    <xf numFmtId="0" fontId="4" fillId="24" borderId="0" xfId="15" applyFont="1" applyFill="1" applyBorder="1" applyAlignment="1" applyProtection="1">
      <alignment horizontal="center" vertical="center"/>
      <protection/>
    </xf>
    <xf numFmtId="3" fontId="4" fillId="24" borderId="0" xfId="15" applyNumberFormat="1" applyFont="1" applyFill="1" applyBorder="1" applyAlignment="1" applyProtection="1">
      <alignment horizontal="center" vertical="center"/>
      <protection/>
    </xf>
    <xf numFmtId="0" fontId="1" fillId="24" borderId="0" xfId="15" applyFont="1" applyFill="1" applyAlignment="1" applyProtection="1">
      <alignment vertical="center"/>
      <protection/>
    </xf>
    <xf numFmtId="0" fontId="1" fillId="24" borderId="0" xfId="15" applyFont="1" applyFill="1" applyAlignment="1" applyProtection="1">
      <alignment horizontal="left" vertical="center"/>
      <protection/>
    </xf>
    <xf numFmtId="0" fontId="2" fillId="24" borderId="0" xfId="15" applyFont="1" applyFill="1" applyAlignment="1" applyProtection="1">
      <alignment horizontal="left" vertical="center"/>
      <protection/>
    </xf>
    <xf numFmtId="0" fontId="2" fillId="24" borderId="0" xfId="15" applyFont="1" applyFill="1" applyAlignment="1" applyProtection="1">
      <alignment vertical="center"/>
      <protection/>
    </xf>
    <xf numFmtId="0" fontId="7" fillId="24" borderId="10" xfId="15" applyFont="1" applyFill="1" applyBorder="1" applyAlignment="1" applyProtection="1">
      <alignment horizontal="center" vertical="center"/>
      <protection/>
    </xf>
    <xf numFmtId="0" fontId="8" fillId="24" borderId="0" xfId="15" applyFont="1" applyFill="1" applyAlignment="1" applyProtection="1">
      <alignment horizontal="left" vertical="center"/>
      <protection/>
    </xf>
    <xf numFmtId="0" fontId="9" fillId="24" borderId="0" xfId="15" applyFont="1" applyFill="1" applyAlignment="1" applyProtection="1">
      <alignment horizontal="center" vertical="center"/>
      <protection/>
    </xf>
    <xf numFmtId="0" fontId="8" fillId="24" borderId="0" xfId="15" applyFont="1" applyFill="1" applyAlignment="1" applyProtection="1">
      <alignment vertical="center"/>
      <protection/>
    </xf>
    <xf numFmtId="0" fontId="13" fillId="24" borderId="11" xfId="15" applyFont="1" applyFill="1" applyBorder="1" applyAlignment="1" applyProtection="1">
      <alignment horizontal="center" vertical="center"/>
      <protection/>
    </xf>
    <xf numFmtId="0" fontId="13" fillId="24" borderId="11" xfId="15" applyFont="1" applyFill="1" applyBorder="1" applyAlignment="1" applyProtection="1">
      <alignment horizontal="left" vertical="center"/>
      <protection/>
    </xf>
    <xf numFmtId="3" fontId="13" fillId="24" borderId="11" xfId="15" applyNumberFormat="1" applyFont="1" applyFill="1" applyBorder="1" applyAlignment="1" applyProtection="1">
      <alignment horizontal="center" vertical="center"/>
      <protection/>
    </xf>
    <xf numFmtId="0" fontId="13" fillId="24" borderId="12" xfId="15" applyFont="1" applyFill="1" applyBorder="1" applyAlignment="1" applyProtection="1">
      <alignment horizontal="center" vertical="center"/>
      <protection/>
    </xf>
    <xf numFmtId="0" fontId="13" fillId="24" borderId="12" xfId="15" applyFont="1" applyFill="1" applyBorder="1" applyAlignment="1" applyProtection="1">
      <alignment horizontal="left" vertical="center"/>
      <protection/>
    </xf>
    <xf numFmtId="3" fontId="13" fillId="24" borderId="12" xfId="15" applyNumberFormat="1" applyFont="1" applyFill="1" applyBorder="1" applyAlignment="1" applyProtection="1">
      <alignment horizontal="center" vertical="center"/>
      <protection/>
    </xf>
    <xf numFmtId="0" fontId="13" fillId="24" borderId="13" xfId="15" applyFont="1" applyFill="1" applyBorder="1" applyAlignment="1" applyProtection="1">
      <alignment horizontal="center" vertical="center"/>
      <protection/>
    </xf>
    <xf numFmtId="0" fontId="13" fillId="24" borderId="13" xfId="15" applyFont="1" applyFill="1" applyBorder="1" applyAlignment="1" applyProtection="1">
      <alignment horizontal="left" vertical="center"/>
      <protection/>
    </xf>
    <xf numFmtId="3" fontId="13" fillId="24" borderId="13" xfId="15" applyNumberFormat="1" applyFont="1" applyFill="1" applyBorder="1" applyAlignment="1" applyProtection="1">
      <alignment horizontal="center" vertical="center"/>
      <protection/>
    </xf>
    <xf numFmtId="3" fontId="13" fillId="0" borderId="12" xfId="15" applyNumberFormat="1" applyFont="1" applyFill="1" applyBorder="1" applyAlignment="1" applyProtection="1">
      <alignment horizontal="center" vertical="center"/>
      <protection/>
    </xf>
    <xf numFmtId="3" fontId="13" fillId="0" borderId="13" xfId="15" applyNumberFormat="1" applyFont="1" applyFill="1" applyBorder="1" applyAlignment="1" applyProtection="1">
      <alignment horizontal="center" vertical="center"/>
      <protection/>
    </xf>
    <xf numFmtId="3" fontId="13" fillId="0" borderId="11" xfId="15" applyNumberFormat="1" applyFont="1" applyFill="1" applyBorder="1" applyAlignment="1" applyProtection="1">
      <alignment horizontal="center" vertical="center"/>
      <protection/>
    </xf>
    <xf numFmtId="1" fontId="13" fillId="24" borderId="0" xfId="15" applyNumberFormat="1" applyFont="1" applyFill="1" applyBorder="1" applyAlignment="1" applyProtection="1">
      <alignment horizontal="center" vertical="center"/>
      <protection locked="0"/>
    </xf>
    <xf numFmtId="0" fontId="3" fillId="24" borderId="11" xfId="15" applyFont="1" applyFill="1" applyBorder="1" applyAlignment="1" applyProtection="1">
      <alignment horizontal="center" vertical="center" wrapText="1"/>
      <protection/>
    </xf>
    <xf numFmtId="0" fontId="3" fillId="24" borderId="13" xfId="15" applyFont="1" applyFill="1" applyBorder="1" applyAlignment="1" applyProtection="1">
      <alignment horizontal="center" vertical="center" wrapText="1"/>
      <protection/>
    </xf>
    <xf numFmtId="0" fontId="7" fillId="24" borderId="0" xfId="15" applyFont="1" applyFill="1" applyAlignment="1" applyProtection="1">
      <alignment horizontal="center" vertical="center"/>
      <protection/>
    </xf>
    <xf numFmtId="0" fontId="3" fillId="24" borderId="14" xfId="15" applyFont="1" applyFill="1" applyBorder="1" applyAlignment="1" applyProtection="1">
      <alignment horizontal="center" vertical="center"/>
      <protection/>
    </xf>
    <xf numFmtId="0" fontId="7" fillId="24" borderId="0" xfId="15" applyFont="1" applyFill="1" applyAlignment="1" applyProtection="1">
      <alignment horizontal="left" vertical="center"/>
      <protection/>
    </xf>
    <xf numFmtId="0" fontId="2" fillId="24" borderId="10" xfId="15" applyFont="1" applyFill="1" applyBorder="1" applyAlignment="1" applyProtection="1">
      <alignment horizontal="center" vertical="center"/>
      <protection locked="0"/>
    </xf>
    <xf numFmtId="9" fontId="2" fillId="24" borderId="0" xfId="15" applyNumberFormat="1" applyFont="1" applyFill="1" applyAlignment="1" applyProtection="1">
      <alignment horizontal="center" vertical="center"/>
      <protection locked="0"/>
    </xf>
    <xf numFmtId="0" fontId="13" fillId="0" borderId="11" xfId="15" applyFont="1" applyFill="1" applyBorder="1" applyAlignment="1" applyProtection="1">
      <alignment horizontal="left" vertical="center"/>
      <protection/>
    </xf>
    <xf numFmtId="0" fontId="13" fillId="0" borderId="12" xfId="15" applyFont="1" applyFill="1" applyBorder="1" applyAlignment="1" applyProtection="1">
      <alignment horizontal="left" vertical="center"/>
      <protection/>
    </xf>
    <xf numFmtId="0" fontId="13" fillId="0" borderId="13" xfId="15" applyFont="1" applyFill="1" applyBorder="1" applyAlignment="1" applyProtection="1">
      <alignment horizontal="left" vertical="center"/>
      <protection/>
    </xf>
    <xf numFmtId="9" fontId="2" fillId="24" borderId="0" xfId="15" applyNumberFormat="1" applyFont="1" applyFill="1" applyAlignment="1" applyProtection="1">
      <alignment horizontal="center" vertical="center"/>
      <protection/>
    </xf>
    <xf numFmtId="9" fontId="2" fillId="24" borderId="0" xfId="15" applyNumberFormat="1" applyFont="1" applyFill="1" applyBorder="1" applyAlignment="1" applyProtection="1">
      <alignment horizontal="center" vertical="center"/>
      <protection locked="0"/>
    </xf>
    <xf numFmtId="0" fontId="4" fillId="24" borderId="0" xfId="15" applyFont="1" applyFill="1" applyAlignment="1" applyProtection="1">
      <alignment horizontal="left" vertical="center"/>
      <protection/>
    </xf>
    <xf numFmtId="0" fontId="13" fillId="24" borderId="0" xfId="15" applyFont="1" applyFill="1" applyAlignment="1" applyProtection="1">
      <alignment horizontal="center" vertical="center"/>
      <protection locked="0"/>
    </xf>
    <xf numFmtId="0" fontId="13" fillId="24" borderId="0" xfId="15" applyFont="1" applyFill="1" applyBorder="1" applyAlignment="1" applyProtection="1">
      <alignment horizontal="center" vertical="center"/>
      <protection locked="0"/>
    </xf>
    <xf numFmtId="1" fontId="13" fillId="24" borderId="0" xfId="15" applyNumberFormat="1" applyFont="1" applyFill="1" applyBorder="1" applyAlignment="1" applyProtection="1">
      <alignment horizontal="center" vertical="center"/>
      <protection/>
    </xf>
    <xf numFmtId="1" fontId="13" fillId="24" borderId="0" xfId="15" applyNumberFormat="1" applyFont="1" applyFill="1" applyAlignment="1" applyProtection="1">
      <alignment horizontal="center" vertical="center"/>
      <protection/>
    </xf>
    <xf numFmtId="1" fontId="13" fillId="24" borderId="0" xfId="15" applyNumberFormat="1" applyFont="1" applyFill="1" applyAlignment="1" applyProtection="1">
      <alignment horizontal="center" vertical="center"/>
      <protection locked="0"/>
    </xf>
    <xf numFmtId="0" fontId="13" fillId="24" borderId="0" xfId="15" applyFont="1" applyFill="1" applyAlignment="1" applyProtection="1">
      <alignment horizontal="center" vertical="center"/>
      <protection/>
    </xf>
    <xf numFmtId="9" fontId="13" fillId="24" borderId="0" xfId="15" applyNumberFormat="1" applyFont="1" applyFill="1" applyAlignment="1" applyProtection="1">
      <alignment horizontal="center" vertical="center"/>
      <protection/>
    </xf>
    <xf numFmtId="9" fontId="13" fillId="24" borderId="0" xfId="15" applyNumberFormat="1" applyFont="1" applyFill="1" applyAlignment="1" applyProtection="1">
      <alignment horizontal="center" vertical="center"/>
      <protection locked="0"/>
    </xf>
    <xf numFmtId="1" fontId="4" fillId="24" borderId="0" xfId="15" applyNumberFormat="1" applyFont="1" applyFill="1" applyAlignment="1" applyProtection="1">
      <alignment horizontal="center" vertical="center"/>
      <protection/>
    </xf>
    <xf numFmtId="0" fontId="13" fillId="0" borderId="11" xfId="15" applyFont="1" applyFill="1" applyBorder="1" applyAlignment="1" applyProtection="1">
      <alignment horizontal="center" vertical="center"/>
      <protection/>
    </xf>
    <xf numFmtId="0" fontId="13" fillId="0" borderId="12" xfId="15" applyFont="1" applyFill="1" applyBorder="1" applyAlignment="1" applyProtection="1">
      <alignment horizontal="center" vertical="center"/>
      <protection/>
    </xf>
    <xf numFmtId="0" fontId="13" fillId="0" borderId="13" xfId="15" applyFont="1" applyFill="1" applyBorder="1" applyAlignment="1" applyProtection="1">
      <alignment horizontal="center" vertical="center"/>
      <protection/>
    </xf>
    <xf numFmtId="187" fontId="13" fillId="24" borderId="0" xfId="15" applyNumberFormat="1" applyFont="1" applyFill="1" applyAlignment="1" applyProtection="1">
      <alignment horizontal="center" vertical="center"/>
      <protection/>
    </xf>
    <xf numFmtId="187" fontId="13" fillId="24" borderId="0" xfId="15" applyNumberFormat="1" applyFont="1" applyFill="1" applyAlignment="1" applyProtection="1">
      <alignment horizontal="center" vertical="center"/>
      <protection locked="0"/>
    </xf>
    <xf numFmtId="9" fontId="13" fillId="24" borderId="0" xfId="15" applyNumberFormat="1" applyFont="1" applyFill="1" applyBorder="1" applyAlignment="1" applyProtection="1">
      <alignment horizontal="center" vertical="center"/>
      <protection locked="0"/>
    </xf>
    <xf numFmtId="1" fontId="14" fillId="24" borderId="0" xfId="15" applyNumberFormat="1" applyFont="1" applyFill="1" applyAlignment="1" applyProtection="1">
      <alignment horizontal="center" vertical="center"/>
      <protection/>
    </xf>
    <xf numFmtId="3" fontId="13" fillId="24" borderId="12" xfId="0" applyNumberFormat="1" applyFont="1" applyFill="1" applyBorder="1" applyAlignment="1">
      <alignment horizontal="center" vertical="center"/>
    </xf>
    <xf numFmtId="3" fontId="13" fillId="24" borderId="13" xfId="0" applyNumberFormat="1" applyFont="1" applyFill="1" applyBorder="1" applyAlignment="1">
      <alignment horizontal="center" vertical="center"/>
    </xf>
    <xf numFmtId="3" fontId="13" fillId="24" borderId="11" xfId="0" applyNumberFormat="1" applyFont="1" applyFill="1" applyBorder="1" applyAlignment="1">
      <alignment horizontal="center" vertical="center"/>
    </xf>
    <xf numFmtId="3" fontId="8" fillId="24" borderId="0" xfId="15" applyNumberFormat="1" applyFont="1" applyFill="1" applyAlignment="1" applyProtection="1">
      <alignment horizontal="left" vertical="center"/>
      <protection/>
    </xf>
    <xf numFmtId="0" fontId="2" fillId="24" borderId="0" xfId="16" applyFont="1" applyFill="1" applyAlignment="1" applyProtection="1">
      <alignment horizontal="center" vertical="center"/>
      <protection locked="0"/>
    </xf>
    <xf numFmtId="0" fontId="1" fillId="24" borderId="0" xfId="16" applyFont="1" applyFill="1" applyAlignment="1" applyProtection="1">
      <alignment horizontal="center" vertical="center"/>
      <protection/>
    </xf>
    <xf numFmtId="0" fontId="0" fillId="24" borderId="0" xfId="16" applyFont="1" applyFill="1" applyAlignment="1" applyProtection="1">
      <alignment horizontal="center" vertical="center"/>
      <protection locked="0"/>
    </xf>
    <xf numFmtId="0" fontId="1" fillId="24" borderId="0" xfId="16" applyFont="1" applyFill="1" applyAlignment="1" applyProtection="1">
      <alignment horizontal="center" vertical="center"/>
      <protection locked="0"/>
    </xf>
    <xf numFmtId="0" fontId="1" fillId="24" borderId="0" xfId="16" applyFont="1" applyFill="1" applyAlignment="1" applyProtection="1">
      <alignment horizontal="left" vertical="center"/>
      <protection/>
    </xf>
    <xf numFmtId="0" fontId="0" fillId="24" borderId="0" xfId="16" applyFont="1" applyFill="1" applyAlignment="1" applyProtection="1">
      <alignment horizontal="center" vertical="center"/>
      <protection/>
    </xf>
    <xf numFmtId="0" fontId="2" fillId="24" borderId="0" xfId="16" applyFont="1" applyFill="1" applyAlignment="1" applyProtection="1">
      <alignment horizontal="center" vertical="center"/>
      <protection/>
    </xf>
    <xf numFmtId="0" fontId="7" fillId="24" borderId="0" xfId="16" applyFont="1" applyFill="1" applyAlignment="1" applyProtection="1">
      <alignment horizontal="left" vertical="center"/>
      <protection/>
    </xf>
    <xf numFmtId="0" fontId="7" fillId="24" borderId="0" xfId="16" applyFont="1" applyFill="1" applyAlignment="1" applyProtection="1">
      <alignment horizontal="center" vertical="center"/>
      <protection/>
    </xf>
    <xf numFmtId="0" fontId="1" fillId="24" borderId="0" xfId="16" applyFont="1" applyFill="1" applyAlignment="1" applyProtection="1">
      <alignment horizontal="left" vertical="center"/>
      <protection locked="0"/>
    </xf>
    <xf numFmtId="0" fontId="3" fillId="24" borderId="11" xfId="16" applyFont="1" applyFill="1" applyBorder="1" applyAlignment="1" applyProtection="1">
      <alignment horizontal="center" vertical="center" wrapText="1"/>
      <protection/>
    </xf>
    <xf numFmtId="0" fontId="13" fillId="24" borderId="11" xfId="16" applyFont="1" applyFill="1" applyBorder="1" applyAlignment="1" applyProtection="1">
      <alignment horizontal="center" vertical="center"/>
      <protection/>
    </xf>
    <xf numFmtId="0" fontId="13" fillId="24" borderId="11" xfId="16" applyFont="1" applyFill="1" applyBorder="1" applyAlignment="1" applyProtection="1">
      <alignment horizontal="left" vertical="center"/>
      <protection/>
    </xf>
    <xf numFmtId="3" fontId="13" fillId="24" borderId="11" xfId="16" applyNumberFormat="1" applyFont="1" applyFill="1" applyBorder="1" applyAlignment="1" applyProtection="1">
      <alignment horizontal="center" vertical="center"/>
      <protection/>
    </xf>
    <xf numFmtId="0" fontId="2" fillId="24" borderId="0" xfId="16" applyFont="1" applyFill="1" applyBorder="1" applyAlignment="1" applyProtection="1">
      <alignment horizontal="center" vertical="center"/>
      <protection locked="0"/>
    </xf>
    <xf numFmtId="0" fontId="13" fillId="24" borderId="12" xfId="16" applyFont="1" applyFill="1" applyBorder="1" applyAlignment="1" applyProtection="1">
      <alignment horizontal="center" vertical="center"/>
      <protection/>
    </xf>
    <xf numFmtId="0" fontId="13" fillId="24" borderId="12" xfId="16" applyFont="1" applyFill="1" applyBorder="1" applyAlignment="1" applyProtection="1">
      <alignment horizontal="left" vertical="center"/>
      <protection/>
    </xf>
    <xf numFmtId="3" fontId="13" fillId="24" borderId="12" xfId="16" applyNumberFormat="1" applyFont="1" applyFill="1" applyBorder="1" applyAlignment="1" applyProtection="1">
      <alignment horizontal="center" vertical="center"/>
      <protection/>
    </xf>
    <xf numFmtId="0" fontId="13" fillId="24" borderId="13" xfId="16" applyFont="1" applyFill="1" applyBorder="1" applyAlignment="1" applyProtection="1">
      <alignment horizontal="center" vertical="center"/>
      <protection/>
    </xf>
    <xf numFmtId="0" fontId="13" fillId="24" borderId="13" xfId="16" applyFont="1" applyFill="1" applyBorder="1" applyAlignment="1" applyProtection="1">
      <alignment horizontal="left" vertical="center"/>
      <protection/>
    </xf>
    <xf numFmtId="3" fontId="13" fillId="24" borderId="13" xfId="16" applyNumberFormat="1" applyFont="1" applyFill="1" applyBorder="1" applyAlignment="1" applyProtection="1">
      <alignment horizontal="center" vertical="center"/>
      <protection/>
    </xf>
    <xf numFmtId="0" fontId="13" fillId="0" borderId="12" xfId="16" applyFont="1" applyFill="1" applyBorder="1" applyAlignment="1" applyProtection="1">
      <alignment horizontal="center" vertical="center"/>
      <protection/>
    </xf>
    <xf numFmtId="0" fontId="13" fillId="24" borderId="0" xfId="16" applyFont="1" applyFill="1" applyAlignment="1" applyProtection="1">
      <alignment horizontal="center" vertical="center"/>
      <protection locked="0"/>
    </xf>
    <xf numFmtId="0" fontId="13" fillId="0" borderId="11" xfId="16" applyFont="1" applyFill="1" applyBorder="1" applyAlignment="1" applyProtection="1">
      <alignment horizontal="center" vertical="center"/>
      <protection/>
    </xf>
    <xf numFmtId="0" fontId="13" fillId="0" borderId="13" xfId="16" applyFont="1" applyFill="1" applyBorder="1" applyAlignment="1" applyProtection="1">
      <alignment horizontal="center" vertical="center"/>
      <protection/>
    </xf>
    <xf numFmtId="0" fontId="13" fillId="0" borderId="11" xfId="16" applyFont="1" applyFill="1" applyBorder="1" applyAlignment="1" applyProtection="1">
      <alignment horizontal="left" vertical="center"/>
      <protection/>
    </xf>
    <xf numFmtId="0" fontId="13" fillId="0" borderId="13" xfId="16" applyFont="1" applyFill="1" applyBorder="1" applyAlignment="1" applyProtection="1">
      <alignment horizontal="left" vertical="center"/>
      <protection/>
    </xf>
    <xf numFmtId="0" fontId="7" fillId="24" borderId="10" xfId="16" applyFont="1" applyFill="1" applyBorder="1" applyAlignment="1" applyProtection="1">
      <alignment horizontal="center" vertical="center"/>
      <protection/>
    </xf>
    <xf numFmtId="3" fontId="7" fillId="24" borderId="10" xfId="16" applyNumberFormat="1" applyFont="1" applyFill="1" applyBorder="1" applyAlignment="1" applyProtection="1">
      <alignment horizontal="center" vertical="center"/>
      <protection/>
    </xf>
    <xf numFmtId="0" fontId="1" fillId="24" borderId="0" xfId="16" applyFont="1" applyFill="1" applyBorder="1" applyAlignment="1" applyProtection="1">
      <alignment horizontal="center" vertical="center"/>
      <protection locked="0"/>
    </xf>
    <xf numFmtId="0" fontId="4" fillId="24" borderId="0" xfId="16" applyFont="1" applyFill="1" applyBorder="1" applyAlignment="1" applyProtection="1">
      <alignment horizontal="center" vertical="center"/>
      <protection/>
    </xf>
    <xf numFmtId="3" fontId="4" fillId="24" borderId="0" xfId="16" applyNumberFormat="1" applyFont="1" applyFill="1" applyBorder="1" applyAlignment="1" applyProtection="1">
      <alignment horizontal="center" vertical="center"/>
      <protection/>
    </xf>
    <xf numFmtId="0" fontId="6" fillId="24" borderId="0" xfId="16" applyFont="1" applyFill="1" applyAlignment="1" applyProtection="1">
      <alignment horizontal="center" vertical="center"/>
      <protection/>
    </xf>
    <xf numFmtId="0" fontId="2" fillId="24" borderId="0" xfId="16" applyFont="1" applyFill="1" applyAlignment="1" applyProtection="1">
      <alignment horizontal="left" vertical="center"/>
      <protection/>
    </xf>
    <xf numFmtId="0" fontId="1" fillId="24" borderId="0" xfId="16" applyFont="1" applyFill="1" applyBorder="1" applyAlignment="1" applyProtection="1">
      <alignment horizontal="left" vertical="center"/>
      <protection/>
    </xf>
    <xf numFmtId="0" fontId="2" fillId="24" borderId="0" xfId="16" applyFont="1" applyFill="1" applyBorder="1" applyAlignment="1" applyProtection="1">
      <alignment horizontal="left" vertical="center"/>
      <protection/>
    </xf>
    <xf numFmtId="0" fontId="9" fillId="24" borderId="0" xfId="16" applyFont="1" applyFill="1" applyAlignment="1" applyProtection="1">
      <alignment horizontal="center" vertical="center"/>
      <protection/>
    </xf>
    <xf numFmtId="0" fontId="8" fillId="24" borderId="0" xfId="16" applyFont="1" applyFill="1" applyAlignment="1" applyProtection="1">
      <alignment horizontal="left" vertical="center"/>
      <protection/>
    </xf>
    <xf numFmtId="9" fontId="2" fillId="24" borderId="0" xfId="16" applyNumberFormat="1" applyFont="1" applyFill="1" applyAlignment="1" applyProtection="1">
      <alignment horizontal="center" vertical="center"/>
      <protection locked="0"/>
    </xf>
    <xf numFmtId="0" fontId="8" fillId="24" borderId="0" xfId="16" applyFont="1" applyFill="1" applyAlignment="1" applyProtection="1">
      <alignment vertical="center"/>
      <protection/>
    </xf>
    <xf numFmtId="0" fontId="2" fillId="24" borderId="0" xfId="16" applyFont="1" applyFill="1" applyAlignment="1" applyProtection="1">
      <alignment vertical="center"/>
      <protection/>
    </xf>
    <xf numFmtId="0" fontId="3" fillId="24" borderId="0" xfId="16" applyFont="1" applyFill="1" applyAlignment="1" applyProtection="1">
      <alignment vertical="center"/>
      <protection/>
    </xf>
    <xf numFmtId="0" fontId="0" fillId="24" borderId="0" xfId="16" applyFont="1" applyFill="1" applyAlignment="1" applyProtection="1">
      <alignment horizontal="center" vertical="center"/>
      <protection locked="0"/>
    </xf>
    <xf numFmtId="0" fontId="8" fillId="24" borderId="0" xfId="16" applyFont="1" applyFill="1" applyBorder="1" applyAlignment="1" applyProtection="1">
      <alignment horizontal="center" vertical="center"/>
      <protection locked="0"/>
    </xf>
    <xf numFmtId="0" fontId="13" fillId="24" borderId="0" xfId="16" applyFont="1" applyFill="1" applyBorder="1" applyAlignment="1" applyProtection="1">
      <alignment horizontal="center" vertical="center"/>
      <protection locked="0"/>
    </xf>
    <xf numFmtId="0" fontId="9" fillId="24" borderId="0" xfId="16" applyFont="1" applyFill="1" applyBorder="1" applyAlignment="1" applyProtection="1">
      <alignment horizontal="center" vertical="center"/>
      <protection locked="0"/>
    </xf>
    <xf numFmtId="186" fontId="9" fillId="24" borderId="0" xfId="16" applyNumberFormat="1" applyFont="1" applyFill="1" applyBorder="1" applyAlignment="1" applyProtection="1">
      <alignment horizontal="center" vertical="center"/>
      <protection locked="0"/>
    </xf>
    <xf numFmtId="1" fontId="2" fillId="24" borderId="0" xfId="16" applyNumberFormat="1" applyFont="1" applyFill="1" applyAlignment="1" applyProtection="1">
      <alignment horizontal="center" vertical="center"/>
      <protection locked="0"/>
    </xf>
    <xf numFmtId="3" fontId="13" fillId="24" borderId="11" xfId="16" applyNumberFormat="1" applyFont="1" applyFill="1" applyBorder="1" applyAlignment="1" applyProtection="1">
      <alignment horizontal="center" vertical="center" wrapText="1"/>
      <protection/>
    </xf>
    <xf numFmtId="3" fontId="13" fillId="24" borderId="0" xfId="15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>
      <alignment horizontal="center" vertical="top" wrapText="1"/>
    </xf>
    <xf numFmtId="0" fontId="3" fillId="24" borderId="0" xfId="16" applyFont="1" applyFill="1" applyBorder="1" applyAlignment="1" applyProtection="1">
      <alignment horizontal="center" vertical="center" wrapText="1"/>
      <protection/>
    </xf>
    <xf numFmtId="3" fontId="1" fillId="24" borderId="0" xfId="16" applyNumberFormat="1" applyFont="1" applyFill="1" applyBorder="1" applyAlignment="1" applyProtection="1">
      <alignment horizontal="right" vertical="center"/>
      <protection/>
    </xf>
    <xf numFmtId="3" fontId="13" fillId="0" borderId="11" xfId="16" applyNumberFormat="1" applyFont="1" applyFill="1" applyBorder="1" applyAlignment="1" applyProtection="1">
      <alignment horizontal="center" vertical="center"/>
      <protection/>
    </xf>
    <xf numFmtId="0" fontId="13" fillId="0" borderId="12" xfId="16" applyFont="1" applyFill="1" applyBorder="1" applyAlignment="1" applyProtection="1">
      <alignment horizontal="left" vertical="center"/>
      <protection/>
    </xf>
    <xf numFmtId="0" fontId="2" fillId="0" borderId="0" xfId="15" applyFont="1" applyFill="1" applyAlignment="1" applyProtection="1">
      <alignment horizontal="center" vertical="center"/>
      <protection locked="0"/>
    </xf>
    <xf numFmtId="0" fontId="1" fillId="0" borderId="0" xfId="15" applyFont="1" applyFill="1" applyAlignment="1" applyProtection="1">
      <alignment horizontal="center" vertical="center"/>
      <protection/>
    </xf>
    <xf numFmtId="0" fontId="1" fillId="0" borderId="0" xfId="15" applyFont="1" applyFill="1" applyAlignment="1" applyProtection="1">
      <alignment horizontal="center" vertical="center"/>
      <protection locked="0"/>
    </xf>
    <xf numFmtId="0" fontId="1" fillId="0" borderId="0" xfId="15" applyFont="1" applyFill="1" applyAlignment="1" applyProtection="1">
      <alignment vertical="center"/>
      <protection/>
    </xf>
    <xf numFmtId="0" fontId="12" fillId="0" borderId="0" xfId="15" applyFont="1" applyFill="1" applyAlignment="1" applyProtection="1">
      <alignment vertical="center"/>
      <protection/>
    </xf>
    <xf numFmtId="0" fontId="1" fillId="0" borderId="0" xfId="15" applyFont="1" applyFill="1" applyAlignment="1" applyProtection="1">
      <alignment horizontal="left" vertical="center"/>
      <protection/>
    </xf>
    <xf numFmtId="0" fontId="0" fillId="0" borderId="0" xfId="15" applyFont="1" applyFill="1" applyAlignment="1" applyProtection="1">
      <alignment horizontal="center" vertical="center"/>
      <protection/>
    </xf>
    <xf numFmtId="0" fontId="2" fillId="0" borderId="0" xfId="15" applyFont="1" applyFill="1" applyAlignment="1" applyProtection="1">
      <alignment horizontal="center" vertical="center"/>
      <protection/>
    </xf>
    <xf numFmtId="0" fontId="7" fillId="0" borderId="0" xfId="15" applyFont="1" applyFill="1" applyAlignment="1" applyProtection="1">
      <alignment horizontal="left" vertical="center"/>
      <protection/>
    </xf>
    <xf numFmtId="0" fontId="7" fillId="0" borderId="0" xfId="15" applyFont="1" applyFill="1" applyAlignment="1" applyProtection="1">
      <alignment horizontal="center" vertical="center"/>
      <protection/>
    </xf>
    <xf numFmtId="0" fontId="3" fillId="0" borderId="10" xfId="15" applyFont="1" applyFill="1" applyBorder="1" applyAlignment="1" applyProtection="1">
      <alignment horizontal="center" vertical="center" wrapText="1"/>
      <protection/>
    </xf>
    <xf numFmtId="0" fontId="2" fillId="0" borderId="0" xfId="15" applyFont="1" applyFill="1" applyBorder="1" applyAlignment="1" applyProtection="1">
      <alignment horizontal="center" vertical="center"/>
      <protection locked="0"/>
    </xf>
    <xf numFmtId="0" fontId="7" fillId="0" borderId="10" xfId="15" applyFont="1" applyFill="1" applyBorder="1" applyAlignment="1" applyProtection="1">
      <alignment horizontal="center" vertical="center"/>
      <protection/>
    </xf>
    <xf numFmtId="3" fontId="7" fillId="0" borderId="10" xfId="15" applyNumberFormat="1" applyFont="1" applyFill="1" applyBorder="1" applyAlignment="1" applyProtection="1">
      <alignment horizontal="center" vertical="center"/>
      <protection/>
    </xf>
    <xf numFmtId="0" fontId="4" fillId="0" borderId="0" xfId="15" applyFont="1" applyFill="1" applyBorder="1" applyAlignment="1" applyProtection="1">
      <alignment horizontal="center" vertical="center"/>
      <protection/>
    </xf>
    <xf numFmtId="3" fontId="4" fillId="0" borderId="0" xfId="15" applyNumberFormat="1" applyFont="1" applyFill="1" applyBorder="1" applyAlignment="1" applyProtection="1">
      <alignment horizontal="center" vertical="center"/>
      <protection/>
    </xf>
    <xf numFmtId="0" fontId="6" fillId="0" borderId="0" xfId="15" applyFont="1" applyFill="1" applyAlignment="1" applyProtection="1">
      <alignment horizontal="center" vertical="center"/>
      <protection/>
    </xf>
    <xf numFmtId="0" fontId="13" fillId="0" borderId="0" xfId="15" applyFont="1" applyFill="1" applyAlignment="1" applyProtection="1">
      <alignment horizontal="center" vertical="center"/>
      <protection locked="0"/>
    </xf>
    <xf numFmtId="0" fontId="2" fillId="0" borderId="0" xfId="15" applyFont="1" applyFill="1" applyAlignment="1" applyProtection="1">
      <alignment horizontal="left" vertical="center"/>
      <protection/>
    </xf>
    <xf numFmtId="0" fontId="9" fillId="0" borderId="0" xfId="15" applyFont="1" applyFill="1" applyAlignment="1" applyProtection="1">
      <alignment horizontal="center" vertical="center"/>
      <protection/>
    </xf>
    <xf numFmtId="0" fontId="8" fillId="0" borderId="0" xfId="15" applyFont="1" applyFill="1" applyAlignment="1" applyProtection="1">
      <alignment horizontal="left" vertical="center"/>
      <protection/>
    </xf>
    <xf numFmtId="0" fontId="13" fillId="0" borderId="0" xfId="15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Alignment="1" applyProtection="1">
      <alignment vertical="center"/>
      <protection/>
    </xf>
    <xf numFmtId="0" fontId="2" fillId="0" borderId="0" xfId="15" applyFont="1" applyFill="1" applyAlignment="1" applyProtection="1">
      <alignment vertical="center"/>
      <protection/>
    </xf>
    <xf numFmtId="0" fontId="13" fillId="0" borderId="0" xfId="15" applyFont="1" applyFill="1" applyAlignment="1" applyProtection="1">
      <alignment horizontal="center" vertical="center"/>
      <protection/>
    </xf>
    <xf numFmtId="0" fontId="3" fillId="0" borderId="0" xfId="15" applyFont="1" applyFill="1" applyAlignment="1" applyProtection="1">
      <alignment vertical="center"/>
      <protection/>
    </xf>
    <xf numFmtId="9" fontId="2" fillId="0" borderId="0" xfId="15" applyNumberFormat="1" applyFont="1" applyFill="1" applyAlignment="1" applyProtection="1">
      <alignment horizontal="center" vertical="center"/>
      <protection locked="0"/>
    </xf>
    <xf numFmtId="9" fontId="2" fillId="0" borderId="0" xfId="15" applyNumberFormat="1" applyFont="1" applyFill="1" applyAlignment="1" applyProtection="1">
      <alignment horizontal="center" vertical="center"/>
      <protection/>
    </xf>
    <xf numFmtId="9" fontId="2" fillId="0" borderId="0" xfId="15" applyNumberFormat="1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Border="1" applyAlignment="1" applyProtection="1">
      <alignment horizontal="center" vertical="center"/>
      <protection locked="0"/>
    </xf>
    <xf numFmtId="3" fontId="9" fillId="24" borderId="0" xfId="15" applyNumberFormat="1" applyFont="1" applyFill="1" applyAlignment="1" applyProtection="1">
      <alignment horizontal="center" vertical="center"/>
      <protection/>
    </xf>
    <xf numFmtId="3" fontId="8" fillId="24" borderId="0" xfId="15" applyNumberFormat="1" applyFont="1" applyFill="1" applyAlignment="1" applyProtection="1">
      <alignment vertical="center"/>
      <protection/>
    </xf>
    <xf numFmtId="2" fontId="13" fillId="24" borderId="10" xfId="15" applyNumberFormat="1" applyFont="1" applyFill="1" applyBorder="1" applyAlignment="1" applyProtection="1">
      <alignment horizontal="center" vertical="center"/>
      <protection/>
    </xf>
    <xf numFmtId="0" fontId="3" fillId="0" borderId="14" xfId="15" applyFont="1" applyFill="1" applyBorder="1" applyAlignment="1" applyProtection="1">
      <alignment horizontal="center" vertical="center" wrapText="1"/>
      <protection/>
    </xf>
    <xf numFmtId="0" fontId="3" fillId="0" borderId="0" xfId="15" applyFont="1" applyFill="1" applyBorder="1" applyAlignment="1" applyProtection="1">
      <alignment vertical="center" wrapText="1"/>
      <protection/>
    </xf>
    <xf numFmtId="2" fontId="13" fillId="24" borderId="11" xfId="15" applyNumberFormat="1" applyFont="1" applyFill="1" applyBorder="1" applyAlignment="1" applyProtection="1">
      <alignment horizontal="center" vertical="center"/>
      <protection/>
    </xf>
    <xf numFmtId="2" fontId="13" fillId="24" borderId="12" xfId="15" applyNumberFormat="1" applyFont="1" applyFill="1" applyBorder="1" applyAlignment="1" applyProtection="1">
      <alignment horizontal="center" vertical="center"/>
      <protection/>
    </xf>
    <xf numFmtId="2" fontId="7" fillId="24" borderId="11" xfId="15" applyNumberFormat="1" applyFont="1" applyFill="1" applyBorder="1" applyAlignment="1" applyProtection="1">
      <alignment horizontal="center" vertical="center"/>
      <protection/>
    </xf>
    <xf numFmtId="186" fontId="13" fillId="24" borderId="11" xfId="15" applyNumberFormat="1" applyFont="1" applyFill="1" applyBorder="1" applyAlignment="1" applyProtection="1">
      <alignment horizontal="center" vertical="center"/>
      <protection/>
    </xf>
    <xf numFmtId="186" fontId="13" fillId="24" borderId="12" xfId="15" applyNumberFormat="1" applyFont="1" applyFill="1" applyBorder="1" applyAlignment="1" applyProtection="1">
      <alignment horizontal="center" vertical="center"/>
      <protection/>
    </xf>
    <xf numFmtId="186" fontId="13" fillId="24" borderId="13" xfId="15" applyNumberFormat="1" applyFont="1" applyFill="1" applyBorder="1" applyAlignment="1" applyProtection="1">
      <alignment horizontal="center" vertical="center"/>
      <protection/>
    </xf>
    <xf numFmtId="3" fontId="4" fillId="0" borderId="0" xfId="15" applyNumberFormat="1" applyFont="1" applyFill="1" applyAlignment="1" applyProtection="1">
      <alignment horizontal="left" vertical="center"/>
      <protection/>
    </xf>
    <xf numFmtId="3" fontId="7" fillId="0" borderId="10" xfId="16" applyNumberFormat="1" applyFont="1" applyFill="1" applyBorder="1" applyAlignment="1" applyProtection="1">
      <alignment horizontal="center" vertical="center"/>
      <protection/>
    </xf>
    <xf numFmtId="3" fontId="2" fillId="24" borderId="0" xfId="15" applyNumberFormat="1" applyFont="1" applyFill="1" applyAlignment="1" applyProtection="1">
      <alignment horizontal="left" vertical="center"/>
      <protection/>
    </xf>
    <xf numFmtId="3" fontId="2" fillId="24" borderId="0" xfId="15" applyNumberFormat="1" applyFont="1" applyFill="1" applyAlignment="1" applyProtection="1">
      <alignment horizontal="center" vertical="center"/>
      <protection/>
    </xf>
    <xf numFmtId="3" fontId="7" fillId="24" borderId="12" xfId="15" applyNumberFormat="1" applyFont="1" applyFill="1" applyBorder="1" applyAlignment="1" applyProtection="1">
      <alignment horizontal="center" vertical="center"/>
      <protection/>
    </xf>
    <xf numFmtId="0" fontId="3" fillId="0" borderId="15" xfId="15" applyFont="1" applyFill="1" applyBorder="1" applyAlignment="1" applyProtection="1">
      <alignment vertical="center" wrapText="1"/>
      <protection/>
    </xf>
    <xf numFmtId="3" fontId="2" fillId="0" borderId="0" xfId="15" applyNumberFormat="1" applyFont="1" applyFill="1" applyAlignment="1" applyProtection="1">
      <alignment horizontal="center" vertical="center"/>
      <protection locked="0"/>
    </xf>
    <xf numFmtId="3" fontId="1" fillId="24" borderId="0" xfId="15" applyNumberFormat="1" applyFont="1" applyFill="1" applyAlignment="1" applyProtection="1">
      <alignment horizontal="center" vertical="center"/>
      <protection locked="0"/>
    </xf>
    <xf numFmtId="0" fontId="3" fillId="0" borderId="15" xfId="15" applyFont="1" applyFill="1" applyBorder="1" applyAlignment="1" applyProtection="1">
      <alignment horizontal="center" vertical="center" wrapText="1"/>
      <protection/>
    </xf>
    <xf numFmtId="3" fontId="13" fillId="24" borderId="11" xfId="15" applyNumberFormat="1" applyFont="1" applyFill="1" applyBorder="1" applyAlignment="1" applyProtection="1">
      <alignment horizontal="right" vertical="center"/>
      <protection locked="0"/>
    </xf>
    <xf numFmtId="3" fontId="13" fillId="24" borderId="12" xfId="15" applyNumberFormat="1" applyFont="1" applyFill="1" applyBorder="1" applyAlignment="1" applyProtection="1">
      <alignment horizontal="right" vertical="center"/>
      <protection locked="0"/>
    </xf>
    <xf numFmtId="3" fontId="13" fillId="24" borderId="13" xfId="15" applyNumberFormat="1" applyFont="1" applyFill="1" applyBorder="1" applyAlignment="1" applyProtection="1">
      <alignment horizontal="right" vertical="center"/>
      <protection locked="0"/>
    </xf>
    <xf numFmtId="0" fontId="13" fillId="0" borderId="11" xfId="16" applyFont="1" applyFill="1" applyBorder="1" applyAlignment="1" applyProtection="1">
      <alignment horizontal="center" vertical="center"/>
      <protection locked="0"/>
    </xf>
    <xf numFmtId="0" fontId="13" fillId="0" borderId="12" xfId="16" applyFont="1" applyFill="1" applyBorder="1" applyAlignment="1" applyProtection="1">
      <alignment horizontal="center" vertical="center"/>
      <protection locked="0"/>
    </xf>
    <xf numFmtId="0" fontId="13" fillId="0" borderId="13" xfId="16" applyFont="1" applyFill="1" applyBorder="1" applyAlignment="1" applyProtection="1">
      <alignment horizontal="center" vertical="center"/>
      <protection locked="0"/>
    </xf>
    <xf numFmtId="4" fontId="13" fillId="0" borderId="11" xfId="15" applyNumberFormat="1" applyFont="1" applyFill="1" applyBorder="1" applyAlignment="1" applyProtection="1">
      <alignment horizontal="center" vertical="center"/>
      <protection/>
    </xf>
    <xf numFmtId="4" fontId="13" fillId="0" borderId="12" xfId="15" applyNumberFormat="1" applyFont="1" applyFill="1" applyBorder="1" applyAlignment="1" applyProtection="1">
      <alignment horizontal="center" vertical="center"/>
      <protection/>
    </xf>
    <xf numFmtId="4" fontId="13" fillId="0" borderId="13" xfId="15" applyNumberFormat="1" applyFont="1" applyFill="1" applyBorder="1" applyAlignment="1" applyProtection="1">
      <alignment horizontal="center" vertical="center"/>
      <protection/>
    </xf>
    <xf numFmtId="4" fontId="7" fillId="0" borderId="10" xfId="15" applyNumberFormat="1" applyFont="1" applyFill="1" applyBorder="1" applyAlignment="1" applyProtection="1">
      <alignment horizontal="center" vertical="center"/>
      <protection/>
    </xf>
    <xf numFmtId="3" fontId="3" fillId="0" borderId="0" xfId="15" applyNumberFormat="1" applyFont="1" applyFill="1" applyAlignment="1" applyProtection="1">
      <alignment horizontal="left" vertical="center"/>
      <protection/>
    </xf>
    <xf numFmtId="0" fontId="3" fillId="0" borderId="11" xfId="15" applyFont="1" applyFill="1" applyBorder="1" applyAlignment="1" applyProtection="1">
      <alignment vertical="center" wrapText="1"/>
      <protection/>
    </xf>
    <xf numFmtId="3" fontId="7" fillId="24" borderId="0" xfId="15" applyNumberFormat="1" applyFont="1" applyFill="1" applyAlignment="1" applyProtection="1">
      <alignment horizontal="center" vertical="center"/>
      <protection/>
    </xf>
    <xf numFmtId="3" fontId="6" fillId="0" borderId="0" xfId="15" applyNumberFormat="1" applyFont="1" applyFill="1" applyAlignment="1" applyProtection="1">
      <alignment horizontal="center" vertical="center"/>
      <protection/>
    </xf>
    <xf numFmtId="3" fontId="13" fillId="0" borderId="0" xfId="15" applyNumberFormat="1" applyFont="1" applyFill="1" applyAlignment="1" applyProtection="1">
      <alignment horizontal="center" vertical="center"/>
      <protection/>
    </xf>
    <xf numFmtId="2" fontId="13" fillId="24" borderId="0" xfId="15" applyNumberFormat="1" applyFont="1" applyFill="1" applyBorder="1" applyAlignment="1" applyProtection="1">
      <alignment horizontal="center" vertical="center"/>
      <protection locked="0"/>
    </xf>
    <xf numFmtId="2" fontId="13" fillId="24" borderId="0" xfId="15" applyNumberFormat="1" applyFont="1" applyFill="1" applyAlignment="1" applyProtection="1">
      <alignment horizontal="center" vertical="center"/>
      <protection/>
    </xf>
    <xf numFmtId="2" fontId="9" fillId="24" borderId="0" xfId="15" applyNumberFormat="1" applyFont="1" applyFill="1" applyAlignment="1" applyProtection="1">
      <alignment vertical="center"/>
      <protection/>
    </xf>
    <xf numFmtId="0" fontId="1" fillId="24" borderId="0" xfId="0" applyFont="1" applyFill="1" applyAlignment="1">
      <alignment/>
    </xf>
    <xf numFmtId="3" fontId="1" fillId="24" borderId="0" xfId="15" applyNumberFormat="1" applyFont="1" applyFill="1" applyAlignment="1" applyProtection="1">
      <alignment horizontal="left" vertical="center"/>
      <protection/>
    </xf>
    <xf numFmtId="0" fontId="13" fillId="24" borderId="0" xfId="0" applyFont="1" applyFill="1" applyAlignment="1">
      <alignment/>
    </xf>
    <xf numFmtId="0" fontId="7" fillId="24" borderId="0" xfId="15" applyFont="1" applyFill="1" applyAlignment="1" applyProtection="1">
      <alignment vertical="center"/>
      <protection/>
    </xf>
    <xf numFmtId="3" fontId="13" fillId="24" borderId="0" xfId="0" applyNumberFormat="1" applyFont="1" applyFill="1" applyAlignment="1">
      <alignment/>
    </xf>
    <xf numFmtId="0" fontId="7" fillId="24" borderId="10" xfId="15" applyFont="1" applyFill="1" applyBorder="1" applyAlignment="1" applyProtection="1">
      <alignment horizontal="center" vertical="center" wrapText="1"/>
      <protection/>
    </xf>
    <xf numFmtId="0" fontId="7" fillId="24" borderId="0" xfId="15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Alignment="1">
      <alignment/>
    </xf>
    <xf numFmtId="0" fontId="13" fillId="24" borderId="0" xfId="15" applyFont="1" applyFill="1" applyBorder="1" applyAlignment="1" applyProtection="1">
      <alignment horizontal="center" vertical="center"/>
      <protection/>
    </xf>
    <xf numFmtId="0" fontId="13" fillId="24" borderId="0" xfId="15" applyFont="1" applyFill="1" applyAlignment="1" applyProtection="1">
      <alignment horizontal="left" vertical="center"/>
      <protection/>
    </xf>
    <xf numFmtId="0" fontId="7" fillId="24" borderId="0" xfId="15" applyFont="1" applyFill="1" applyBorder="1" applyAlignment="1" applyProtection="1">
      <alignment horizontal="left" vertical="center"/>
      <protection/>
    </xf>
    <xf numFmtId="0" fontId="13" fillId="24" borderId="0" xfId="15" applyFont="1" applyFill="1" applyBorder="1" applyAlignment="1" applyProtection="1">
      <alignment horizontal="left" vertical="center"/>
      <protection/>
    </xf>
    <xf numFmtId="4" fontId="13" fillId="24" borderId="0" xfId="15" applyNumberFormat="1" applyFont="1" applyFill="1" applyAlignment="1" applyProtection="1">
      <alignment horizontal="center" vertical="center"/>
      <protection/>
    </xf>
    <xf numFmtId="2" fontId="13" fillId="24" borderId="0" xfId="15" applyNumberFormat="1" applyFont="1" applyFill="1" applyAlignment="1" applyProtection="1">
      <alignment vertical="center" wrapText="1"/>
      <protection/>
    </xf>
    <xf numFmtId="0" fontId="13" fillId="24" borderId="0" xfId="15" applyFont="1" applyFill="1" applyAlignment="1" applyProtection="1">
      <alignment vertical="center"/>
      <protection/>
    </xf>
    <xf numFmtId="1" fontId="13" fillId="24" borderId="0" xfId="0" applyNumberFormat="1" applyFont="1" applyFill="1" applyAlignment="1">
      <alignment/>
    </xf>
    <xf numFmtId="2" fontId="13" fillId="24" borderId="0" xfId="0" applyNumberFormat="1" applyFont="1" applyFill="1" applyAlignment="1">
      <alignment vertical="center" wrapText="1"/>
    </xf>
    <xf numFmtId="4" fontId="13" fillId="24" borderId="0" xfId="15" applyNumberFormat="1" applyFont="1" applyFill="1" applyAlignment="1" applyProtection="1">
      <alignment horizontal="center" vertical="center"/>
      <protection locked="0"/>
    </xf>
    <xf numFmtId="2" fontId="7" fillId="24" borderId="0" xfId="15" applyNumberFormat="1" applyFont="1" applyFill="1" applyAlignment="1" applyProtection="1">
      <alignment vertical="center"/>
      <protection/>
    </xf>
    <xf numFmtId="0" fontId="13" fillId="24" borderId="10" xfId="15" applyFont="1" applyFill="1" applyBorder="1" applyAlignment="1" applyProtection="1">
      <alignment horizontal="center" vertical="center"/>
      <protection/>
    </xf>
    <xf numFmtId="0" fontId="13" fillId="24" borderId="10" xfId="15" applyFont="1" applyFill="1" applyBorder="1" applyAlignment="1" applyProtection="1">
      <alignment horizontal="center" vertical="center" wrapText="1"/>
      <protection locked="0"/>
    </xf>
    <xf numFmtId="0" fontId="13" fillId="24" borderId="15" xfId="15" applyFont="1" applyFill="1" applyBorder="1" applyAlignment="1" applyProtection="1">
      <alignment horizontal="center" vertical="center" wrapText="1"/>
      <protection locked="0"/>
    </xf>
    <xf numFmtId="4" fontId="13" fillId="24" borderId="0" xfId="15" applyNumberFormat="1" applyFont="1" applyFill="1" applyBorder="1" applyAlignment="1" applyProtection="1">
      <alignment horizontal="center" vertical="center"/>
      <protection locked="0"/>
    </xf>
    <xf numFmtId="0" fontId="13" fillId="24" borderId="10" xfId="15" applyFont="1" applyFill="1" applyBorder="1" applyAlignment="1" applyProtection="1">
      <alignment horizontal="center" vertical="center"/>
      <protection locked="0"/>
    </xf>
    <xf numFmtId="4" fontId="7" fillId="24" borderId="0" xfId="15" applyNumberFormat="1" applyFont="1" applyFill="1" applyBorder="1" applyAlignment="1" applyProtection="1">
      <alignment horizontal="center" vertical="center"/>
      <protection locked="0"/>
    </xf>
    <xf numFmtId="10" fontId="13" fillId="24" borderId="10" xfId="15" applyNumberFormat="1" applyFont="1" applyFill="1" applyBorder="1" applyAlignment="1" applyProtection="1">
      <alignment horizontal="center" vertical="center"/>
      <protection locked="0"/>
    </xf>
    <xf numFmtId="0" fontId="13" fillId="24" borderId="13" xfId="15" applyFont="1" applyFill="1" applyBorder="1" applyAlignment="1" applyProtection="1">
      <alignment horizontal="center" vertical="center"/>
      <protection locked="0"/>
    </xf>
    <xf numFmtId="10" fontId="13" fillId="24" borderId="13" xfId="15" applyNumberFormat="1" applyFont="1" applyFill="1" applyBorder="1" applyAlignment="1" applyProtection="1">
      <alignment horizontal="center" vertical="center"/>
      <protection locked="0"/>
    </xf>
    <xf numFmtId="10" fontId="13" fillId="24" borderId="10" xfId="15" applyNumberFormat="1" applyFont="1" applyFill="1" applyBorder="1" applyAlignment="1" applyProtection="1">
      <alignment horizontal="center" vertical="center"/>
      <protection/>
    </xf>
    <xf numFmtId="10" fontId="7" fillId="24" borderId="10" xfId="15" applyNumberFormat="1" applyFont="1" applyFill="1" applyBorder="1" applyAlignment="1" applyProtection="1">
      <alignment horizontal="center" vertical="center"/>
      <protection/>
    </xf>
    <xf numFmtId="4" fontId="15" fillId="24" borderId="0" xfId="15" applyNumberFormat="1" applyFont="1" applyFill="1" applyAlignment="1" applyProtection="1">
      <alignment vertical="center"/>
      <protection/>
    </xf>
    <xf numFmtId="0" fontId="7" fillId="24" borderId="10" xfId="15" applyFont="1" applyFill="1" applyBorder="1" applyAlignment="1" applyProtection="1">
      <alignment horizontal="center" vertical="center"/>
      <protection locked="0"/>
    </xf>
    <xf numFmtId="10" fontId="7" fillId="24" borderId="10" xfId="15" applyNumberFormat="1" applyFont="1" applyFill="1" applyBorder="1" applyAlignment="1" applyProtection="1">
      <alignment horizontal="center" vertical="center"/>
      <protection locked="0"/>
    </xf>
    <xf numFmtId="9" fontId="7" fillId="24" borderId="10" xfId="15" applyNumberFormat="1" applyFont="1" applyFill="1" applyBorder="1" applyAlignment="1" applyProtection="1">
      <alignment horizontal="center" vertical="center"/>
      <protection locked="0"/>
    </xf>
    <xf numFmtId="9" fontId="7" fillId="24" borderId="0" xfId="15" applyNumberFormat="1" applyFont="1" applyFill="1" applyBorder="1" applyAlignment="1" applyProtection="1">
      <alignment horizontal="center" vertical="center"/>
      <protection locked="0"/>
    </xf>
    <xf numFmtId="14" fontId="7" fillId="24" borderId="0" xfId="15" applyNumberFormat="1" applyFont="1" applyFill="1" applyBorder="1" applyAlignment="1" applyProtection="1">
      <alignment horizontal="center" vertical="center"/>
      <protection locked="0"/>
    </xf>
    <xf numFmtId="186" fontId="13" fillId="24" borderId="0" xfId="15" applyNumberFormat="1" applyFont="1" applyFill="1" applyBorder="1" applyAlignment="1" applyProtection="1">
      <alignment horizontal="center" vertical="center"/>
      <protection locked="0"/>
    </xf>
    <xf numFmtId="2" fontId="13" fillId="24" borderId="0" xfId="15" applyNumberFormat="1" applyFont="1" applyFill="1" applyAlignment="1" applyProtection="1">
      <alignment horizontal="center" vertical="center"/>
      <protection locked="0"/>
    </xf>
    <xf numFmtId="3" fontId="13" fillId="25" borderId="11" xfId="15" applyNumberFormat="1" applyFont="1" applyFill="1" applyBorder="1" applyAlignment="1" applyProtection="1">
      <alignment horizontal="center" vertical="center"/>
      <protection/>
    </xf>
    <xf numFmtId="3" fontId="13" fillId="25" borderId="12" xfId="15" applyNumberFormat="1" applyFont="1" applyFill="1" applyBorder="1" applyAlignment="1" applyProtection="1">
      <alignment horizontal="center" vertical="center"/>
      <protection/>
    </xf>
    <xf numFmtId="3" fontId="13" fillId="25" borderId="13" xfId="15" applyNumberFormat="1" applyFont="1" applyFill="1" applyBorder="1" applyAlignment="1" applyProtection="1">
      <alignment horizontal="center" vertical="center"/>
      <protection/>
    </xf>
    <xf numFmtId="2" fontId="13" fillId="0" borderId="10" xfId="15" applyNumberFormat="1" applyFont="1" applyFill="1" applyBorder="1" applyAlignment="1" applyProtection="1">
      <alignment horizontal="center" vertical="center"/>
      <protection/>
    </xf>
    <xf numFmtId="0" fontId="13" fillId="24" borderId="0" xfId="15" applyFont="1" applyFill="1" applyAlignment="1" applyProtection="1" quotePrefix="1">
      <alignment horizontal="center" vertical="center"/>
      <protection locked="0"/>
    </xf>
    <xf numFmtId="2" fontId="13" fillId="24" borderId="0" xfId="0" applyNumberFormat="1" applyFont="1" applyFill="1" applyAlignment="1">
      <alignment/>
    </xf>
    <xf numFmtId="0" fontId="9" fillId="0" borderId="0" xfId="15" applyFont="1" applyFill="1" applyBorder="1" applyAlignment="1" applyProtection="1">
      <alignment horizontal="center" vertical="center"/>
      <protection locked="0"/>
    </xf>
    <xf numFmtId="0" fontId="9" fillId="0" borderId="0" xfId="15" applyFont="1" applyFill="1" applyBorder="1" applyAlignment="1" applyProtection="1">
      <alignment horizontal="left" vertical="center"/>
      <protection locked="0"/>
    </xf>
    <xf numFmtId="0" fontId="9" fillId="0" borderId="0" xfId="15" applyFont="1" applyFill="1" applyBorder="1" applyAlignment="1" applyProtection="1">
      <alignment horizontal="right" vertical="center"/>
      <protection locked="0"/>
    </xf>
    <xf numFmtId="3" fontId="13" fillId="0" borderId="11" xfId="16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" fontId="7" fillId="24" borderId="0" xfId="15" applyNumberFormat="1" applyFont="1" applyFill="1" applyAlignment="1" applyProtection="1">
      <alignment horizontal="left" vertical="center"/>
      <protection/>
    </xf>
    <xf numFmtId="1" fontId="7" fillId="24" borderId="0" xfId="15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2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3" fillId="0" borderId="10" xfId="15" applyFont="1" applyFill="1" applyBorder="1" applyAlignment="1" applyProtection="1">
      <alignment horizontal="left" vertical="center"/>
      <protection/>
    </xf>
    <xf numFmtId="3" fontId="13" fillId="0" borderId="10" xfId="15" applyNumberFormat="1" applyFont="1" applyFill="1" applyBorder="1" applyAlignment="1" applyProtection="1">
      <alignment horizontal="center" vertical="center"/>
      <protection/>
    </xf>
    <xf numFmtId="0" fontId="7" fillId="0" borderId="10" xfId="15" applyFont="1" applyFill="1" applyBorder="1" applyAlignment="1" applyProtection="1">
      <alignment horizontal="left" vertical="center"/>
      <protection/>
    </xf>
    <xf numFmtId="0" fontId="15" fillId="0" borderId="0" xfId="15" applyFont="1" applyFill="1" applyAlignment="1" applyProtection="1">
      <alignment vertical="center"/>
      <protection/>
    </xf>
    <xf numFmtId="3" fontId="13" fillId="0" borderId="10" xfId="15" applyNumberFormat="1" applyFont="1" applyFill="1" applyBorder="1" applyAlignment="1" applyProtection="1">
      <alignment horizontal="center" vertical="center"/>
      <protection locked="0"/>
    </xf>
    <xf numFmtId="0" fontId="7" fillId="0" borderId="0" xfId="15" applyFont="1" applyFill="1" applyAlignment="1" applyProtection="1">
      <alignment vertical="center"/>
      <protection/>
    </xf>
    <xf numFmtId="0" fontId="7" fillId="0" borderId="0" xfId="15" applyFont="1" applyFill="1" applyBorder="1" applyAlignment="1" applyProtection="1">
      <alignment horizontal="center" vertical="center"/>
      <protection locked="0"/>
    </xf>
    <xf numFmtId="3" fontId="13" fillId="0" borderId="0" xfId="15" applyNumberFormat="1" applyFont="1" applyFill="1" applyAlignment="1" applyProtection="1">
      <alignment horizontal="center" vertical="center"/>
      <protection locked="0"/>
    </xf>
    <xf numFmtId="0" fontId="7" fillId="0" borderId="0" xfId="15" applyFont="1" applyFill="1" applyAlignment="1" applyProtection="1">
      <alignment horizontal="center" vertical="center"/>
      <protection locked="0"/>
    </xf>
    <xf numFmtId="2" fontId="0" fillId="25" borderId="0" xfId="0" applyNumberFormat="1" applyFill="1" applyBorder="1" applyAlignment="1">
      <alignment/>
    </xf>
    <xf numFmtId="1" fontId="0" fillId="25" borderId="0" xfId="0" applyNumberFormat="1" applyFill="1" applyBorder="1" applyAlignment="1">
      <alignment/>
    </xf>
    <xf numFmtId="0" fontId="7" fillId="0" borderId="16" xfId="15" applyFont="1" applyFill="1" applyBorder="1" applyAlignment="1" applyProtection="1">
      <alignment horizontal="center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18" xfId="15" applyFont="1" applyFill="1" applyBorder="1" applyAlignment="1" applyProtection="1">
      <alignment horizontal="center" vertical="center" wrapText="1"/>
      <protection/>
    </xf>
    <xf numFmtId="0" fontId="13" fillId="0" borderId="19" xfId="15" applyFont="1" applyFill="1" applyBorder="1" applyAlignment="1" applyProtection="1">
      <alignment horizontal="left" vertical="center"/>
      <protection/>
    </xf>
    <xf numFmtId="3" fontId="13" fillId="0" borderId="19" xfId="15" applyNumberFormat="1" applyFont="1" applyFill="1" applyBorder="1" applyAlignment="1" applyProtection="1">
      <alignment horizontal="center" vertical="center"/>
      <protection/>
    </xf>
    <xf numFmtId="3" fontId="7" fillId="0" borderId="20" xfId="15" applyNumberFormat="1" applyFont="1" applyFill="1" applyBorder="1" applyAlignment="1" applyProtection="1">
      <alignment horizontal="center" vertical="center"/>
      <protection/>
    </xf>
    <xf numFmtId="3" fontId="7" fillId="0" borderId="21" xfId="15" applyNumberFormat="1" applyFont="1" applyFill="1" applyBorder="1" applyAlignment="1" applyProtection="1">
      <alignment horizontal="center" vertical="center"/>
      <protection/>
    </xf>
    <xf numFmtId="0" fontId="13" fillId="0" borderId="22" xfId="15" applyFont="1" applyFill="1" applyBorder="1" applyAlignment="1" applyProtection="1">
      <alignment horizontal="left" vertical="center"/>
      <protection/>
    </xf>
    <xf numFmtId="3" fontId="13" fillId="0" borderId="22" xfId="15" applyNumberFormat="1" applyFont="1" applyFill="1" applyBorder="1" applyAlignment="1" applyProtection="1">
      <alignment horizontal="center" vertical="center"/>
      <protection/>
    </xf>
    <xf numFmtId="3" fontId="7" fillId="0" borderId="23" xfId="15" applyNumberFormat="1" applyFont="1" applyFill="1" applyBorder="1" applyAlignment="1" applyProtection="1">
      <alignment horizontal="center" vertical="center"/>
      <protection/>
    </xf>
    <xf numFmtId="0" fontId="7" fillId="0" borderId="19" xfId="15" applyFont="1" applyFill="1" applyBorder="1" applyAlignment="1" applyProtection="1">
      <alignment horizontal="left" vertical="center"/>
      <protection/>
    </xf>
    <xf numFmtId="0" fontId="7" fillId="0" borderId="22" xfId="15" applyFont="1" applyFill="1" applyBorder="1" applyAlignment="1" applyProtection="1">
      <alignment horizontal="left" vertical="center"/>
      <protection/>
    </xf>
    <xf numFmtId="3" fontId="13" fillId="0" borderId="19" xfId="15" applyNumberFormat="1" applyFont="1" applyFill="1" applyBorder="1" applyAlignment="1" applyProtection="1">
      <alignment horizontal="center" vertical="center"/>
      <protection locked="0"/>
    </xf>
    <xf numFmtId="3" fontId="8" fillId="0" borderId="0" xfId="15" applyNumberFormat="1" applyFont="1" applyFill="1" applyAlignment="1" applyProtection="1">
      <alignment vertical="center"/>
      <protection/>
    </xf>
    <xf numFmtId="0" fontId="7" fillId="0" borderId="10" xfId="15" applyFont="1" applyFill="1" applyBorder="1" applyAlignment="1" applyProtection="1">
      <alignment horizontal="center" vertical="center" wrapText="1"/>
      <protection/>
    </xf>
    <xf numFmtId="0" fontId="1" fillId="0" borderId="0" xfId="15" applyFont="1" applyFill="1" applyAlignment="1" applyProtection="1">
      <alignment horizontal="left" vertical="center"/>
      <protection locked="0"/>
    </xf>
    <xf numFmtId="0" fontId="7" fillId="0" borderId="0" xfId="15" applyFont="1" applyFill="1" applyBorder="1" applyAlignment="1" applyProtection="1">
      <alignment horizontal="center" vertical="center" wrapText="1"/>
      <protection/>
    </xf>
    <xf numFmtId="4" fontId="7" fillId="24" borderId="10" xfId="15" applyNumberFormat="1" applyFont="1" applyFill="1" applyBorder="1" applyAlignment="1" applyProtection="1">
      <alignment horizontal="center" vertical="center"/>
      <protection/>
    </xf>
    <xf numFmtId="3" fontId="13" fillId="24" borderId="10" xfId="15" applyNumberFormat="1" applyFont="1" applyFill="1" applyBorder="1" applyAlignment="1" applyProtection="1">
      <alignment horizontal="center" vertical="center"/>
      <protection/>
    </xf>
    <xf numFmtId="4" fontId="1" fillId="24" borderId="10" xfId="15" applyNumberFormat="1" applyFont="1" applyFill="1" applyBorder="1" applyAlignment="1" applyProtection="1">
      <alignment horizontal="center" vertical="center"/>
      <protection/>
    </xf>
    <xf numFmtId="3" fontId="1" fillId="24" borderId="0" xfId="15" applyNumberFormat="1" applyFont="1" applyFill="1" applyBorder="1" applyAlignment="1" applyProtection="1">
      <alignment horizontal="right" vertical="center"/>
      <protection/>
    </xf>
    <xf numFmtId="186" fontId="13" fillId="24" borderId="10" xfId="15" applyNumberFormat="1" applyFont="1" applyFill="1" applyBorder="1" applyAlignment="1" applyProtection="1">
      <alignment horizontal="center" vertical="center"/>
      <protection/>
    </xf>
    <xf numFmtId="3" fontId="2" fillId="24" borderId="0" xfId="15" applyNumberFormat="1" applyFont="1" applyFill="1" applyAlignment="1" applyProtection="1">
      <alignment horizontal="center" vertical="center"/>
      <protection locked="0"/>
    </xf>
    <xf numFmtId="2" fontId="1" fillId="24" borderId="0" xfId="15" applyNumberFormat="1" applyFont="1" applyFill="1" applyBorder="1" applyAlignment="1" applyProtection="1">
      <alignment horizontal="center" vertical="center"/>
      <protection/>
    </xf>
    <xf numFmtId="3" fontId="13" fillId="24" borderId="10" xfId="15" applyNumberFormat="1" applyFont="1" applyFill="1" applyBorder="1" applyAlignment="1" applyProtection="1">
      <alignment horizontal="right" vertical="center"/>
      <protection/>
    </xf>
    <xf numFmtId="2" fontId="2" fillId="24" borderId="0" xfId="15" applyNumberFormat="1" applyFont="1" applyFill="1" applyBorder="1" applyAlignment="1" applyProtection="1">
      <alignment horizontal="center" vertical="center"/>
      <protection/>
    </xf>
    <xf numFmtId="4" fontId="7" fillId="0" borderId="10" xfId="15" applyNumberFormat="1" applyFont="1" applyFill="1" applyBorder="1" applyAlignment="1" applyProtection="1" quotePrefix="1">
      <alignment horizontal="center" vertical="center"/>
      <protection/>
    </xf>
    <xf numFmtId="199" fontId="7" fillId="0" borderId="10" xfId="15" applyNumberFormat="1" applyFont="1" applyFill="1" applyBorder="1" applyAlignment="1" applyProtection="1">
      <alignment horizontal="center" vertical="center"/>
      <protection/>
    </xf>
    <xf numFmtId="4" fontId="7" fillId="0" borderId="19" xfId="15" applyNumberFormat="1" applyFont="1" applyFill="1" applyBorder="1" applyAlignment="1" applyProtection="1">
      <alignment horizontal="center" vertical="center"/>
      <protection/>
    </xf>
    <xf numFmtId="4" fontId="7" fillId="0" borderId="20" xfId="15" applyNumberFormat="1" applyFont="1" applyFill="1" applyBorder="1" applyAlignment="1" applyProtection="1">
      <alignment horizontal="center" vertical="center"/>
      <protection/>
    </xf>
    <xf numFmtId="4" fontId="7" fillId="0" borderId="21" xfId="15" applyNumberFormat="1" applyFont="1" applyFill="1" applyBorder="1" applyAlignment="1" applyProtection="1">
      <alignment horizontal="center" vertical="center"/>
      <protection/>
    </xf>
    <xf numFmtId="4" fontId="7" fillId="0" borderId="22" xfId="15" applyNumberFormat="1" applyFont="1" applyFill="1" applyBorder="1" applyAlignment="1" applyProtection="1">
      <alignment horizontal="center" vertical="center"/>
      <protection/>
    </xf>
    <xf numFmtId="4" fontId="7" fillId="0" borderId="23" xfId="15" applyNumberFormat="1" applyFont="1" applyFill="1" applyBorder="1" applyAlignment="1" applyProtection="1">
      <alignment horizontal="center" vertical="center"/>
      <protection/>
    </xf>
    <xf numFmtId="2" fontId="7" fillId="24" borderId="10" xfId="15" applyNumberFormat="1" applyFont="1" applyFill="1" applyBorder="1" applyAlignment="1" applyProtection="1">
      <alignment horizontal="center" vertical="center"/>
      <protection/>
    </xf>
    <xf numFmtId="3" fontId="13" fillId="24" borderId="0" xfId="15" applyNumberFormat="1" applyFont="1" applyFill="1" applyAlignment="1" applyProtection="1">
      <alignment horizontal="center" vertical="center"/>
      <protection locked="0"/>
    </xf>
    <xf numFmtId="3" fontId="3" fillId="0" borderId="0" xfId="15" applyNumberFormat="1" applyFont="1" applyFill="1" applyAlignment="1" applyProtection="1">
      <alignment vertical="center"/>
      <protection/>
    </xf>
    <xf numFmtId="3" fontId="7" fillId="24" borderId="0" xfId="15" applyNumberFormat="1" applyFont="1" applyFill="1" applyAlignment="1" applyProtection="1">
      <alignment vertical="center"/>
      <protection/>
    </xf>
    <xf numFmtId="2" fontId="13" fillId="0" borderId="10" xfId="15" applyNumberFormat="1" applyFont="1" applyFill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>
      <alignment vertical="top" wrapText="1"/>
    </xf>
    <xf numFmtId="0" fontId="13" fillId="0" borderId="10" xfId="15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4" fontId="13" fillId="24" borderId="10" xfId="15" applyNumberFormat="1" applyFont="1" applyFill="1" applyBorder="1" applyAlignment="1" applyProtection="1">
      <alignment horizontal="center" vertical="center"/>
      <protection locked="0"/>
    </xf>
    <xf numFmtId="3" fontId="13" fillId="24" borderId="10" xfId="15" applyNumberFormat="1" applyFont="1" applyFill="1" applyBorder="1" applyAlignment="1" applyProtection="1">
      <alignment horizontal="center" vertical="center"/>
      <protection locked="0"/>
    </xf>
    <xf numFmtId="17" fontId="7" fillId="0" borderId="17" xfId="15" applyNumberFormat="1" applyFont="1" applyFill="1" applyBorder="1" applyAlignment="1" applyProtection="1">
      <alignment horizontal="center" vertical="center" wrapText="1"/>
      <protection/>
    </xf>
    <xf numFmtId="193" fontId="13" fillId="24" borderId="10" xfId="15" applyNumberFormat="1" applyFont="1" applyFill="1" applyBorder="1" applyAlignment="1" applyProtection="1">
      <alignment horizontal="center" vertical="center"/>
      <protection locked="0"/>
    </xf>
    <xf numFmtId="3" fontId="13" fillId="0" borderId="11" xfId="15" applyNumberFormat="1" applyFont="1" applyFill="1" applyBorder="1" applyAlignment="1" applyProtection="1">
      <alignment horizontal="right" vertical="center"/>
      <protection/>
    </xf>
    <xf numFmtId="3" fontId="13" fillId="0" borderId="12" xfId="15" applyNumberFormat="1" applyFont="1" applyFill="1" applyBorder="1" applyAlignment="1" applyProtection="1">
      <alignment horizontal="right" vertical="center"/>
      <protection/>
    </xf>
    <xf numFmtId="3" fontId="13" fillId="0" borderId="13" xfId="15" applyNumberFormat="1" applyFont="1" applyFill="1" applyBorder="1" applyAlignment="1" applyProtection="1">
      <alignment horizontal="right" vertical="center"/>
      <protection/>
    </xf>
    <xf numFmtId="0" fontId="1" fillId="0" borderId="0" xfId="15" applyFont="1" applyFill="1" applyAlignment="1" applyProtection="1">
      <alignment horizontal="right" vertical="center"/>
      <protection/>
    </xf>
    <xf numFmtId="3" fontId="13" fillId="0" borderId="13" xfId="16" applyNumberFormat="1" applyFont="1" applyFill="1" applyBorder="1" applyAlignment="1" applyProtection="1">
      <alignment horizontal="center" vertical="center"/>
      <protection locked="0"/>
    </xf>
    <xf numFmtId="3" fontId="13" fillId="0" borderId="12" xfId="16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3" fontId="13" fillId="0" borderId="11" xfId="15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Alignment="1">
      <alignment horizontal="center" vertical="center"/>
    </xf>
    <xf numFmtId="3" fontId="16" fillId="0" borderId="12" xfId="15" applyNumberFormat="1" applyFont="1" applyFill="1" applyBorder="1" applyAlignment="1" applyProtection="1">
      <alignment horizontal="center" vertical="center"/>
      <protection/>
    </xf>
    <xf numFmtId="3" fontId="0" fillId="0" borderId="10" xfId="15" applyNumberFormat="1" applyFont="1" applyFill="1" applyBorder="1" applyAlignment="1" applyProtection="1">
      <alignment horizontal="center" vertical="center"/>
      <protection/>
    </xf>
    <xf numFmtId="3" fontId="2" fillId="24" borderId="10" xfId="15" applyNumberFormat="1" applyFont="1" applyFill="1" applyBorder="1" applyAlignment="1" applyProtection="1">
      <alignment horizontal="center" vertical="center"/>
      <protection/>
    </xf>
    <xf numFmtId="0" fontId="3" fillId="24" borderId="0" xfId="15" applyFont="1" applyFill="1" applyBorder="1" applyAlignment="1" applyProtection="1">
      <alignment vertical="center"/>
      <protection/>
    </xf>
    <xf numFmtId="0" fontId="1" fillId="24" borderId="0" xfId="15" applyFont="1" applyFill="1" applyBorder="1" applyAlignment="1" applyProtection="1">
      <alignment horizontal="center" vertical="center"/>
      <protection/>
    </xf>
    <xf numFmtId="3" fontId="13" fillId="24" borderId="10" xfId="0" applyNumberFormat="1" applyFont="1" applyFill="1" applyBorder="1" applyAlignment="1">
      <alignment horizontal="center" vertical="center"/>
    </xf>
    <xf numFmtId="1" fontId="7" fillId="24" borderId="0" xfId="15" applyNumberFormat="1" applyFont="1" applyFill="1" applyBorder="1" applyAlignment="1" applyProtection="1">
      <alignment horizontal="center" vertical="center"/>
      <protection/>
    </xf>
    <xf numFmtId="4" fontId="1" fillId="24" borderId="10" xfId="0" applyNumberFormat="1" applyFont="1" applyFill="1" applyBorder="1" applyAlignment="1">
      <alignment horizontal="center" vertical="center"/>
    </xf>
    <xf numFmtId="3" fontId="4" fillId="0" borderId="10" xfId="15" applyNumberFormat="1" applyFont="1" applyFill="1" applyBorder="1" applyAlignment="1" applyProtection="1">
      <alignment horizontal="center" vertical="center"/>
      <protection/>
    </xf>
    <xf numFmtId="3" fontId="13" fillId="0" borderId="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 applyFill="1" applyBorder="1" applyAlignment="1" applyProtection="1">
      <alignment horizontal="center" vertical="center"/>
      <protection locked="0"/>
    </xf>
    <xf numFmtId="3" fontId="13" fillId="0" borderId="11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3" fontId="0" fillId="24" borderId="10" xfId="15" applyNumberFormat="1" applyFont="1" applyFill="1" applyBorder="1" applyAlignment="1" applyProtection="1">
      <alignment horizontal="center" vertical="center"/>
      <protection/>
    </xf>
    <xf numFmtId="3" fontId="13" fillId="25" borderId="12" xfId="16" applyNumberFormat="1" applyFont="1" applyFill="1" applyBorder="1" applyAlignment="1" applyProtection="1">
      <alignment horizontal="center" vertical="center"/>
      <protection/>
    </xf>
    <xf numFmtId="3" fontId="13" fillId="25" borderId="13" xfId="16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3" fontId="13" fillId="0" borderId="26" xfId="16" applyNumberFormat="1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3" fillId="0" borderId="27" xfId="15" applyNumberFormat="1" applyFont="1" applyFill="1" applyBorder="1" applyAlignment="1" applyProtection="1">
      <alignment horizontal="center" vertical="center"/>
      <protection/>
    </xf>
    <xf numFmtId="3" fontId="13" fillId="0" borderId="26" xfId="15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15" applyFont="1" applyFill="1" applyAlignment="1" applyProtection="1">
      <alignment horizontal="left" vertical="center"/>
      <protection/>
    </xf>
    <xf numFmtId="0" fontId="7" fillId="24" borderId="0" xfId="15" applyFont="1" applyFill="1" applyBorder="1" applyAlignment="1" applyProtection="1">
      <alignment horizontal="center" vertical="center"/>
      <protection/>
    </xf>
    <xf numFmtId="2" fontId="13" fillId="24" borderId="0" xfId="0" applyNumberFormat="1" applyFont="1" applyFill="1" applyBorder="1" applyAlignment="1">
      <alignment vertical="center" wrapText="1"/>
    </xf>
    <xf numFmtId="2" fontId="13" fillId="0" borderId="0" xfId="15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>
      <alignment horizontal="center" vertical="top" wrapText="1"/>
    </xf>
    <xf numFmtId="0" fontId="13" fillId="0" borderId="0" xfId="15" applyFont="1" applyFill="1" applyAlignment="1" applyProtection="1">
      <alignment horizontal="center" vertical="top"/>
      <protection locked="0"/>
    </xf>
    <xf numFmtId="3" fontId="13" fillId="0" borderId="0" xfId="15" applyNumberFormat="1" applyFont="1" applyFill="1" applyAlignment="1" applyProtection="1">
      <alignment horizontal="center" vertical="top"/>
      <protection locked="0"/>
    </xf>
    <xf numFmtId="3" fontId="13" fillId="0" borderId="26" xfId="16" applyNumberFormat="1" applyFont="1" applyFill="1" applyBorder="1" applyAlignment="1" applyProtection="1">
      <alignment horizontal="center" vertical="center"/>
      <protection/>
    </xf>
    <xf numFmtId="3" fontId="13" fillId="0" borderId="12" xfId="16" applyNumberFormat="1" applyFont="1" applyFill="1" applyBorder="1" applyAlignment="1" applyProtection="1" quotePrefix="1">
      <alignment horizontal="center" vertical="center"/>
      <protection/>
    </xf>
    <xf numFmtId="3" fontId="13" fillId="0" borderId="25" xfId="16" applyNumberFormat="1" applyFont="1" applyFill="1" applyBorder="1" applyAlignment="1" applyProtection="1">
      <alignment horizontal="center" vertical="center"/>
      <protection/>
    </xf>
    <xf numFmtId="3" fontId="13" fillId="24" borderId="0" xfId="0" applyNumberFormat="1" applyFont="1" applyFill="1" applyBorder="1" applyAlignment="1">
      <alignment/>
    </xf>
    <xf numFmtId="3" fontId="13" fillId="0" borderId="13" xfId="16" applyNumberFormat="1" applyFont="1" applyFill="1" applyBorder="1" applyAlignment="1" applyProtection="1">
      <alignment horizontal="center" vertical="center"/>
      <protection/>
    </xf>
    <xf numFmtId="3" fontId="13" fillId="0" borderId="12" xfId="16" applyNumberFormat="1" applyFont="1" applyFill="1" applyBorder="1" applyAlignment="1" applyProtection="1">
      <alignment horizontal="center" vertical="center"/>
      <protection/>
    </xf>
    <xf numFmtId="3" fontId="4" fillId="0" borderId="0" xfId="15" applyNumberFormat="1" applyFont="1" applyFill="1" applyBorder="1" applyAlignment="1" applyProtection="1">
      <alignment horizontal="left" vertical="center"/>
      <protection/>
    </xf>
    <xf numFmtId="3" fontId="6" fillId="24" borderId="13" xfId="15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 wrapText="1"/>
    </xf>
    <xf numFmtId="3" fontId="0" fillId="24" borderId="12" xfId="15" applyNumberFormat="1" applyFont="1" applyFill="1" applyBorder="1" applyAlignment="1" applyProtection="1">
      <alignment horizontal="center" vertical="center"/>
      <protection/>
    </xf>
    <xf numFmtId="3" fontId="13" fillId="24" borderId="12" xfId="16" applyNumberFormat="1" applyFont="1" applyFill="1" applyBorder="1" applyAlignment="1" applyProtection="1">
      <alignment horizontal="center" vertical="center" wrapText="1"/>
      <protection/>
    </xf>
    <xf numFmtId="3" fontId="13" fillId="24" borderId="13" xfId="16" applyNumberFormat="1" applyFont="1" applyFill="1" applyBorder="1" applyAlignment="1" applyProtection="1">
      <alignment horizontal="center" vertical="center" wrapText="1"/>
      <protection/>
    </xf>
    <xf numFmtId="3" fontId="13" fillId="0" borderId="11" xfId="44" applyNumberFormat="1" applyFont="1" applyFill="1" applyBorder="1" applyAlignment="1" applyProtection="1">
      <alignment horizontal="center" vertical="center"/>
      <protection/>
    </xf>
    <xf numFmtId="3" fontId="13" fillId="0" borderId="12" xfId="44" applyNumberFormat="1" applyFont="1" applyFill="1" applyBorder="1" applyAlignment="1" applyProtection="1">
      <alignment horizontal="center" vertical="center"/>
      <protection/>
    </xf>
    <xf numFmtId="3" fontId="13" fillId="0" borderId="13" xfId="44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>
      <alignment horizontal="center" vertical="center" wrapText="1"/>
    </xf>
    <xf numFmtId="0" fontId="7" fillId="24" borderId="0" xfId="15" applyNumberFormat="1" applyFont="1" applyFill="1" applyAlignment="1" applyProtection="1">
      <alignment horizontal="center" vertical="center"/>
      <protection/>
    </xf>
    <xf numFmtId="0" fontId="13" fillId="24" borderId="0" xfId="0" applyFont="1" applyFill="1" applyBorder="1" applyAlignment="1">
      <alignment/>
    </xf>
    <xf numFmtId="0" fontId="13" fillId="0" borderId="19" xfId="15" applyFont="1" applyFill="1" applyBorder="1" applyAlignment="1" applyProtection="1">
      <alignment horizontal="center" vertical="center"/>
      <protection/>
    </xf>
    <xf numFmtId="0" fontId="13" fillId="0" borderId="10" xfId="15" applyFont="1" applyFill="1" applyBorder="1" applyAlignment="1" applyProtection="1">
      <alignment horizontal="center" vertical="center"/>
      <protection/>
    </xf>
    <xf numFmtId="0" fontId="13" fillId="0" borderId="22" xfId="15" applyFont="1" applyFill="1" applyBorder="1" applyAlignment="1" applyProtection="1">
      <alignment horizontal="center" vertical="center"/>
      <protection/>
    </xf>
    <xf numFmtId="0" fontId="7" fillId="0" borderId="19" xfId="15" applyFont="1" applyFill="1" applyBorder="1" applyAlignment="1" applyProtection="1">
      <alignment horizontal="center" vertical="center"/>
      <protection/>
    </xf>
    <xf numFmtId="0" fontId="7" fillId="0" borderId="22" xfId="15" applyFont="1" applyFill="1" applyBorder="1" applyAlignment="1" applyProtection="1">
      <alignment horizontal="center" vertical="center"/>
      <protection/>
    </xf>
    <xf numFmtId="3" fontId="7" fillId="0" borderId="19" xfId="15" applyNumberFormat="1" applyFont="1" applyFill="1" applyBorder="1" applyAlignment="1" applyProtection="1">
      <alignment horizontal="center" vertical="center"/>
      <protection/>
    </xf>
    <xf numFmtId="3" fontId="7" fillId="0" borderId="22" xfId="15" applyNumberFormat="1" applyFont="1" applyFill="1" applyBorder="1" applyAlignment="1" applyProtection="1">
      <alignment horizontal="center" vertical="center"/>
      <protection/>
    </xf>
    <xf numFmtId="3" fontId="19" fillId="24" borderId="11" xfId="15" applyNumberFormat="1" applyFont="1" applyFill="1" applyBorder="1" applyAlignment="1" applyProtection="1">
      <alignment horizontal="center" vertical="center"/>
      <protection/>
    </xf>
    <xf numFmtId="3" fontId="13" fillId="0" borderId="13" xfId="16" applyNumberFormat="1" applyFont="1" applyFill="1" applyBorder="1" applyAlignment="1" applyProtection="1" quotePrefix="1">
      <alignment horizontal="center" vertical="center"/>
      <protection/>
    </xf>
    <xf numFmtId="3" fontId="19" fillId="24" borderId="10" xfId="15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16" applyFont="1" applyFill="1" applyAlignment="1" applyProtection="1">
      <alignment horizontal="center" vertical="center"/>
      <protection locked="0"/>
    </xf>
    <xf numFmtId="0" fontId="7" fillId="0" borderId="0" xfId="15" applyFont="1" applyFill="1" applyBorder="1" applyAlignment="1" applyProtection="1">
      <alignment horizontal="center" vertical="center"/>
      <protection/>
    </xf>
    <xf numFmtId="4" fontId="13" fillId="0" borderId="10" xfId="15" applyNumberFormat="1" applyFont="1" applyFill="1" applyBorder="1" applyAlignment="1" applyProtection="1">
      <alignment horizontal="center" vertical="center"/>
      <protection/>
    </xf>
    <xf numFmtId="0" fontId="2" fillId="0" borderId="12" xfId="15" applyFont="1" applyFill="1" applyBorder="1" applyAlignment="1" applyProtection="1">
      <alignment horizontal="center" vertical="center"/>
      <protection locked="0"/>
    </xf>
    <xf numFmtId="0" fontId="2" fillId="0" borderId="26" xfId="15" applyFont="1" applyFill="1" applyBorder="1" applyAlignment="1" applyProtection="1">
      <alignment horizontal="center" vertical="center"/>
      <protection locked="0"/>
    </xf>
    <xf numFmtId="4" fontId="13" fillId="0" borderId="28" xfId="15" applyNumberFormat="1" applyFont="1" applyFill="1" applyBorder="1" applyAlignment="1" applyProtection="1">
      <alignment horizontal="center" vertical="center"/>
      <protection/>
    </xf>
    <xf numFmtId="0" fontId="13" fillId="24" borderId="12" xfId="0" applyFont="1" applyFill="1" applyBorder="1" applyAlignment="1">
      <alignment horizontal="center" vertical="center"/>
    </xf>
    <xf numFmtId="0" fontId="2" fillId="24" borderId="0" xfId="16" applyFont="1" applyFill="1" applyAlignment="1" applyProtection="1">
      <alignment horizontal="left" vertical="center"/>
      <protection locked="0"/>
    </xf>
    <xf numFmtId="0" fontId="3" fillId="24" borderId="25" xfId="15" applyFont="1" applyFill="1" applyBorder="1" applyAlignment="1" applyProtection="1">
      <alignment horizontal="center" vertical="center" wrapText="1"/>
      <protection/>
    </xf>
    <xf numFmtId="0" fontId="3" fillId="24" borderId="10" xfId="16" applyFont="1" applyFill="1" applyBorder="1" applyAlignment="1" applyProtection="1">
      <alignment horizontal="center" vertical="center" wrapText="1"/>
      <protection/>
    </xf>
    <xf numFmtId="0" fontId="3" fillId="24" borderId="15" xfId="16" applyFont="1" applyFill="1" applyBorder="1" applyAlignment="1" applyProtection="1">
      <alignment horizontal="center" vertical="center" wrapText="1"/>
      <protection/>
    </xf>
    <xf numFmtId="0" fontId="3" fillId="24" borderId="14" xfId="16" applyFont="1" applyFill="1" applyBorder="1" applyAlignment="1" applyProtection="1">
      <alignment horizontal="center" vertical="center" wrapText="1"/>
      <protection/>
    </xf>
    <xf numFmtId="0" fontId="3" fillId="24" borderId="11" xfId="16" applyFont="1" applyFill="1" applyBorder="1" applyAlignment="1" applyProtection="1">
      <alignment horizontal="center" vertical="center" wrapText="1"/>
      <protection/>
    </xf>
    <xf numFmtId="0" fontId="1" fillId="24" borderId="0" xfId="15" applyFont="1" applyFill="1" applyAlignment="1" applyProtection="1">
      <alignment horizontal="center" vertical="center"/>
      <protection/>
    </xf>
    <xf numFmtId="0" fontId="3" fillId="24" borderId="15" xfId="15" applyFont="1" applyFill="1" applyBorder="1" applyAlignment="1" applyProtection="1">
      <alignment horizontal="center" vertical="center" wrapText="1"/>
      <protection/>
    </xf>
    <xf numFmtId="0" fontId="3" fillId="24" borderId="14" xfId="15" applyFont="1" applyFill="1" applyBorder="1" applyAlignment="1" applyProtection="1">
      <alignment horizontal="center" vertical="center" wrapText="1"/>
      <protection/>
    </xf>
    <xf numFmtId="0" fontId="3" fillId="24" borderId="29" xfId="15" applyFont="1" applyFill="1" applyBorder="1" applyAlignment="1" applyProtection="1">
      <alignment horizontal="center" vertical="center" wrapText="1"/>
      <protection/>
    </xf>
    <xf numFmtId="0" fontId="3" fillId="24" borderId="26" xfId="15" applyFont="1" applyFill="1" applyBorder="1" applyAlignment="1" applyProtection="1">
      <alignment horizontal="center" vertical="center" wrapText="1"/>
      <protection/>
    </xf>
    <xf numFmtId="0" fontId="3" fillId="24" borderId="0" xfId="15" applyFont="1" applyFill="1" applyBorder="1" applyAlignment="1" applyProtection="1">
      <alignment horizontal="center" vertical="center" wrapText="1"/>
      <protection/>
    </xf>
    <xf numFmtId="0" fontId="3" fillId="24" borderId="11" xfId="15" applyFont="1" applyFill="1" applyBorder="1" applyAlignment="1" applyProtection="1">
      <alignment horizontal="center" vertical="center" wrapText="1"/>
      <protection/>
    </xf>
    <xf numFmtId="0" fontId="3" fillId="24" borderId="12" xfId="15" applyFont="1" applyFill="1" applyBorder="1" applyAlignment="1" applyProtection="1">
      <alignment horizontal="center" vertical="center" wrapText="1"/>
      <protection/>
    </xf>
    <xf numFmtId="0" fontId="3" fillId="24" borderId="13" xfId="15" applyFont="1" applyFill="1" applyBorder="1" applyAlignment="1" applyProtection="1">
      <alignment horizontal="center" vertical="center" wrapText="1"/>
      <protection/>
    </xf>
    <xf numFmtId="0" fontId="4" fillId="24" borderId="10" xfId="15" applyFont="1" applyFill="1" applyBorder="1" applyAlignment="1" applyProtection="1">
      <alignment horizontal="center" vertical="center" wrapText="1"/>
      <protection/>
    </xf>
    <xf numFmtId="0" fontId="13" fillId="24" borderId="10" xfId="15" applyFont="1" applyFill="1" applyBorder="1" applyAlignment="1" applyProtection="1">
      <alignment horizontal="center" vertical="center"/>
      <protection locked="0"/>
    </xf>
    <xf numFmtId="0" fontId="7" fillId="24" borderId="11" xfId="15" applyFont="1" applyFill="1" applyBorder="1" applyAlignment="1" applyProtection="1">
      <alignment horizontal="center" vertical="center" wrapText="1"/>
      <protection/>
    </xf>
    <xf numFmtId="0" fontId="7" fillId="24" borderId="13" xfId="15" applyFont="1" applyFill="1" applyBorder="1" applyAlignment="1" applyProtection="1">
      <alignment horizontal="center" vertical="center" wrapText="1"/>
      <protection/>
    </xf>
    <xf numFmtId="0" fontId="7" fillId="24" borderId="10" xfId="15" applyFont="1" applyFill="1" applyBorder="1" applyAlignment="1" applyProtection="1">
      <alignment horizontal="center" vertical="center" wrapText="1"/>
      <protection/>
    </xf>
    <xf numFmtId="0" fontId="7" fillId="24" borderId="28" xfId="15" applyFont="1" applyFill="1" applyBorder="1" applyAlignment="1" applyProtection="1">
      <alignment horizontal="center" vertical="center" wrapText="1"/>
      <protection/>
    </xf>
    <xf numFmtId="0" fontId="7" fillId="24" borderId="30" xfId="15" applyFont="1" applyFill="1" applyBorder="1" applyAlignment="1" applyProtection="1">
      <alignment horizontal="center" vertical="center" wrapText="1"/>
      <protection/>
    </xf>
    <xf numFmtId="0" fontId="7" fillId="24" borderId="31" xfId="15" applyFont="1" applyFill="1" applyBorder="1" applyAlignment="1" applyProtection="1">
      <alignment horizontal="center" vertical="center" wrapText="1"/>
      <protection/>
    </xf>
    <xf numFmtId="0" fontId="7" fillId="24" borderId="15" xfId="15" applyFont="1" applyFill="1" applyBorder="1" applyAlignment="1" applyProtection="1">
      <alignment horizontal="center" vertical="center" wrapText="1"/>
      <protection/>
    </xf>
    <xf numFmtId="0" fontId="7" fillId="24" borderId="14" xfId="15" applyFont="1" applyFill="1" applyBorder="1" applyAlignment="1" applyProtection="1">
      <alignment horizontal="center" vertical="center" wrapText="1"/>
      <protection/>
    </xf>
    <xf numFmtId="0" fontId="7" fillId="24" borderId="29" xfId="15" applyFont="1" applyFill="1" applyBorder="1" applyAlignment="1" applyProtection="1">
      <alignment horizontal="center" vertical="center" wrapText="1"/>
      <protection/>
    </xf>
    <xf numFmtId="0" fontId="13" fillId="24" borderId="10" xfId="15" applyFont="1" applyFill="1" applyBorder="1" applyAlignment="1" applyProtection="1">
      <alignment horizontal="center" vertical="center" wrapText="1"/>
      <protection locked="0"/>
    </xf>
    <xf numFmtId="0" fontId="7" fillId="24" borderId="12" xfId="15" applyFont="1" applyFill="1" applyBorder="1" applyAlignment="1" applyProtection="1">
      <alignment horizontal="center" vertical="center" wrapText="1"/>
      <protection/>
    </xf>
    <xf numFmtId="0" fontId="1" fillId="24" borderId="10" xfId="15" applyFont="1" applyFill="1" applyBorder="1" applyAlignment="1" applyProtection="1">
      <alignment horizontal="center" vertical="center"/>
      <protection/>
    </xf>
    <xf numFmtId="0" fontId="13" fillId="24" borderId="15" xfId="15" applyFont="1" applyFill="1" applyBorder="1" applyAlignment="1" applyProtection="1">
      <alignment horizontal="center" vertical="center" wrapText="1"/>
      <protection locked="0"/>
    </xf>
    <xf numFmtId="0" fontId="13" fillId="24" borderId="29" xfId="15" applyFont="1" applyFill="1" applyBorder="1" applyAlignment="1" applyProtection="1">
      <alignment horizontal="center" vertical="center" wrapText="1"/>
      <protection locked="0"/>
    </xf>
    <xf numFmtId="0" fontId="3" fillId="24" borderId="10" xfId="15" applyFont="1" applyFill="1" applyBorder="1" applyAlignment="1" applyProtection="1">
      <alignment horizontal="center" vertical="center" wrapText="1"/>
      <protection/>
    </xf>
    <xf numFmtId="0" fontId="3" fillId="24" borderId="13" xfId="16" applyFont="1" applyFill="1" applyBorder="1" applyAlignment="1" applyProtection="1">
      <alignment horizontal="center" vertical="center" wrapText="1"/>
      <protection/>
    </xf>
    <xf numFmtId="0" fontId="3" fillId="24" borderId="0" xfId="16" applyFont="1" applyFill="1" applyBorder="1" applyAlignment="1" applyProtection="1">
      <alignment horizontal="center" vertical="center" wrapText="1"/>
      <protection/>
    </xf>
    <xf numFmtId="0" fontId="4" fillId="24" borderId="28" xfId="16" applyFont="1" applyFill="1" applyBorder="1" applyAlignment="1" applyProtection="1">
      <alignment horizontal="center" vertical="center" wrapText="1"/>
      <protection/>
    </xf>
    <xf numFmtId="0" fontId="4" fillId="24" borderId="30" xfId="16" applyFont="1" applyFill="1" applyBorder="1" applyAlignment="1" applyProtection="1">
      <alignment horizontal="center" vertical="center" wrapText="1"/>
      <protection/>
    </xf>
    <xf numFmtId="0" fontId="4" fillId="24" borderId="31" xfId="16" applyFont="1" applyFill="1" applyBorder="1" applyAlignment="1" applyProtection="1">
      <alignment horizontal="center" vertical="center" wrapText="1"/>
      <protection/>
    </xf>
    <xf numFmtId="0" fontId="3" fillId="24" borderId="29" xfId="16" applyFont="1" applyFill="1" applyBorder="1" applyAlignment="1" applyProtection="1">
      <alignment horizontal="center" vertical="center" wrapText="1"/>
      <protection/>
    </xf>
    <xf numFmtId="0" fontId="3" fillId="24" borderId="28" xfId="16" applyFont="1" applyFill="1" applyBorder="1" applyAlignment="1" applyProtection="1">
      <alignment horizontal="center" vertical="center" wrapText="1"/>
      <protection/>
    </xf>
    <xf numFmtId="0" fontId="3" fillId="24" borderId="30" xfId="16" applyFont="1" applyFill="1" applyBorder="1" applyAlignment="1" applyProtection="1">
      <alignment horizontal="center" vertical="center" wrapText="1"/>
      <protection/>
    </xf>
    <xf numFmtId="0" fontId="3" fillId="24" borderId="31" xfId="16" applyFont="1" applyFill="1" applyBorder="1" applyAlignment="1" applyProtection="1">
      <alignment horizontal="center" vertical="center" wrapText="1"/>
      <protection/>
    </xf>
    <xf numFmtId="0" fontId="1" fillId="24" borderId="0" xfId="16" applyFont="1" applyFill="1" applyAlignment="1" applyProtection="1">
      <alignment horizontal="center" vertical="center"/>
      <protection/>
    </xf>
    <xf numFmtId="0" fontId="3" fillId="24" borderId="12" xfId="16" applyFont="1" applyFill="1" applyBorder="1" applyAlignment="1" applyProtection="1">
      <alignment horizontal="center" vertical="center" wrapText="1"/>
      <protection/>
    </xf>
    <xf numFmtId="0" fontId="3" fillId="24" borderId="11" xfId="16" applyFont="1" applyFill="1" applyBorder="1" applyAlignment="1" applyProtection="1">
      <alignment vertical="center" wrapText="1"/>
      <protection/>
    </xf>
    <xf numFmtId="0" fontId="3" fillId="24" borderId="12" xfId="16" applyFont="1" applyFill="1" applyBorder="1" applyAlignment="1" applyProtection="1">
      <alignment vertical="center" wrapText="1"/>
      <protection/>
    </xf>
    <xf numFmtId="0" fontId="3" fillId="24" borderId="13" xfId="16" applyFont="1" applyFill="1" applyBorder="1" applyAlignment="1" applyProtection="1">
      <alignment vertical="center" wrapText="1"/>
      <protection/>
    </xf>
    <xf numFmtId="0" fontId="7" fillId="24" borderId="11" xfId="15" applyFont="1" applyFill="1" applyBorder="1" applyAlignment="1" applyProtection="1">
      <alignment horizontal="center" vertical="center"/>
      <protection locked="0"/>
    </xf>
    <xf numFmtId="0" fontId="7" fillId="24" borderId="13" xfId="15" applyFont="1" applyFill="1" applyBorder="1" applyAlignment="1" applyProtection="1">
      <alignment horizontal="center" vertical="center"/>
      <protection locked="0"/>
    </xf>
    <xf numFmtId="0" fontId="3" fillId="24" borderId="28" xfId="15" applyFont="1" applyFill="1" applyBorder="1" applyAlignment="1" applyProtection="1">
      <alignment horizontal="center" vertical="center" wrapText="1"/>
      <protection/>
    </xf>
    <xf numFmtId="0" fontId="3" fillId="24" borderId="30" xfId="15" applyFont="1" applyFill="1" applyBorder="1" applyAlignment="1" applyProtection="1">
      <alignment horizontal="center" vertical="center" wrapText="1"/>
      <protection/>
    </xf>
    <xf numFmtId="0" fontId="3" fillId="24" borderId="31" xfId="15" applyFont="1" applyFill="1" applyBorder="1" applyAlignment="1" applyProtection="1">
      <alignment horizontal="center" vertical="center" wrapText="1"/>
      <protection/>
    </xf>
    <xf numFmtId="0" fontId="3" fillId="24" borderId="11" xfId="15" applyFont="1" applyFill="1" applyBorder="1" applyAlignment="1" applyProtection="1">
      <alignment horizontal="center" vertical="center"/>
      <protection locked="0"/>
    </xf>
    <xf numFmtId="0" fontId="3" fillId="24" borderId="13" xfId="15" applyFont="1" applyFill="1" applyBorder="1" applyAlignment="1" applyProtection="1">
      <alignment horizontal="center" vertical="center"/>
      <protection locked="0"/>
    </xf>
    <xf numFmtId="0" fontId="4" fillId="24" borderId="15" xfId="15" applyFont="1" applyFill="1" applyBorder="1" applyAlignment="1" applyProtection="1">
      <alignment horizontal="center" vertical="center" wrapText="1"/>
      <protection/>
    </xf>
    <xf numFmtId="0" fontId="4" fillId="24" borderId="14" xfId="15" applyFont="1" applyFill="1" applyBorder="1" applyAlignment="1" applyProtection="1">
      <alignment horizontal="center" vertical="center" wrapText="1"/>
      <protection/>
    </xf>
    <xf numFmtId="0" fontId="4" fillId="24" borderId="29" xfId="15" applyFont="1" applyFill="1" applyBorder="1" applyAlignment="1" applyProtection="1">
      <alignment horizontal="center" vertical="center" wrapText="1"/>
      <protection/>
    </xf>
    <xf numFmtId="0" fontId="2" fillId="24" borderId="0" xfId="15" applyFont="1" applyFill="1" applyBorder="1" applyAlignment="1" applyProtection="1">
      <alignment horizontal="center" vertical="center"/>
      <protection locked="0"/>
    </xf>
    <xf numFmtId="0" fontId="3" fillId="0" borderId="10" xfId="15" applyFont="1" applyFill="1" applyBorder="1" applyAlignment="1" applyProtection="1">
      <alignment horizontal="center" vertical="center" wrapText="1"/>
      <protection/>
    </xf>
    <xf numFmtId="0" fontId="3" fillId="0" borderId="11" xfId="15" applyFont="1" applyFill="1" applyBorder="1" applyAlignment="1" applyProtection="1">
      <alignment horizontal="center" vertical="center" wrapText="1"/>
      <protection/>
    </xf>
    <xf numFmtId="0" fontId="3" fillId="0" borderId="12" xfId="15" applyFont="1" applyFill="1" applyBorder="1" applyAlignment="1" applyProtection="1">
      <alignment horizontal="center" vertical="center" wrapText="1"/>
      <protection/>
    </xf>
    <xf numFmtId="0" fontId="3" fillId="0" borderId="13" xfId="15" applyFont="1" applyFill="1" applyBorder="1" applyAlignment="1" applyProtection="1">
      <alignment horizontal="center" vertical="center" wrapText="1"/>
      <protection/>
    </xf>
    <xf numFmtId="0" fontId="3" fillId="0" borderId="15" xfId="15" applyFont="1" applyFill="1" applyBorder="1" applyAlignment="1" applyProtection="1">
      <alignment horizontal="center" vertical="center" wrapText="1"/>
      <protection/>
    </xf>
    <xf numFmtId="0" fontId="3" fillId="0" borderId="14" xfId="15" applyFont="1" applyFill="1" applyBorder="1" applyAlignment="1" applyProtection="1">
      <alignment horizontal="center" vertical="center" wrapText="1"/>
      <protection/>
    </xf>
    <xf numFmtId="0" fontId="1" fillId="0" borderId="10" xfId="15" applyFont="1" applyFill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center" vertical="center" wrapText="1"/>
      <protection locked="0"/>
    </xf>
    <xf numFmtId="0" fontId="2" fillId="0" borderId="0" xfId="15" applyFont="1" applyFill="1" applyBorder="1" applyAlignment="1" applyProtection="1">
      <alignment horizontal="center" vertical="center"/>
      <protection locked="0"/>
    </xf>
    <xf numFmtId="0" fontId="7" fillId="0" borderId="10" xfId="15" applyFont="1" applyFill="1" applyBorder="1" applyAlignment="1" applyProtection="1">
      <alignment horizontal="center" vertical="center"/>
      <protection locked="0"/>
    </xf>
    <xf numFmtId="0" fontId="1" fillId="0" borderId="15" xfId="15" applyFont="1" applyFill="1" applyBorder="1" applyAlignment="1" applyProtection="1">
      <alignment horizontal="center" vertical="center"/>
      <protection/>
    </xf>
    <xf numFmtId="0" fontId="1" fillId="0" borderId="14" xfId="15" applyFont="1" applyFill="1" applyBorder="1" applyAlignment="1" applyProtection="1">
      <alignment horizontal="center" vertical="center"/>
      <protection/>
    </xf>
    <xf numFmtId="0" fontId="1" fillId="0" borderId="29" xfId="15" applyFont="1" applyFill="1" applyBorder="1" applyAlignment="1" applyProtection="1">
      <alignment horizontal="center" vertical="center"/>
      <protection/>
    </xf>
    <xf numFmtId="0" fontId="3" fillId="0" borderId="31" xfId="15" applyFont="1" applyFill="1" applyBorder="1" applyAlignment="1" applyProtection="1">
      <alignment horizontal="center" vertical="center" wrapText="1"/>
      <protection/>
    </xf>
    <xf numFmtId="0" fontId="3" fillId="0" borderId="27" xfId="15" applyFont="1" applyFill="1" applyBorder="1" applyAlignment="1" applyProtection="1">
      <alignment horizontal="center" vertical="center" wrapText="1"/>
      <protection/>
    </xf>
    <xf numFmtId="0" fontId="13" fillId="0" borderId="10" xfId="15" applyFont="1" applyFill="1" applyBorder="1" applyAlignment="1" applyProtection="1">
      <alignment horizontal="center" vertical="center"/>
      <protection locked="0"/>
    </xf>
    <xf numFmtId="0" fontId="13" fillId="0" borderId="0" xfId="15" applyFont="1" applyFill="1" applyAlignment="1" applyProtection="1">
      <alignment horizontal="center" vertical="center"/>
      <protection locked="0"/>
    </xf>
    <xf numFmtId="0" fontId="13" fillId="0" borderId="32" xfId="15" applyFont="1" applyFill="1" applyBorder="1" applyAlignment="1" applyProtection="1">
      <alignment horizontal="center" vertical="center"/>
      <protection locked="0"/>
    </xf>
    <xf numFmtId="0" fontId="13" fillId="0" borderId="10" xfId="15" applyFont="1" applyFill="1" applyBorder="1" applyAlignment="1" applyProtection="1">
      <alignment horizontal="center" vertical="center" wrapText="1"/>
      <protection locked="0"/>
    </xf>
    <xf numFmtId="0" fontId="1" fillId="0" borderId="0" xfId="15" applyFont="1" applyFill="1" applyAlignment="1" applyProtection="1">
      <alignment horizontal="right" vertical="center"/>
      <protection/>
    </xf>
    <xf numFmtId="0" fontId="7" fillId="0" borderId="33" xfId="15" applyFont="1" applyFill="1" applyBorder="1" applyAlignment="1" applyProtection="1">
      <alignment horizontal="center" vertical="center" wrapText="1"/>
      <protection/>
    </xf>
    <xf numFmtId="0" fontId="7" fillId="0" borderId="34" xfId="15" applyFont="1" applyFill="1" applyBorder="1" applyAlignment="1" applyProtection="1">
      <alignment horizontal="center" vertical="center" wrapText="1"/>
      <protection/>
    </xf>
    <xf numFmtId="0" fontId="7" fillId="0" borderId="35" xfId="15" applyFont="1" applyFill="1" applyBorder="1" applyAlignment="1" applyProtection="1">
      <alignment horizontal="center" vertical="center" wrapText="1"/>
      <protection/>
    </xf>
    <xf numFmtId="0" fontId="7" fillId="0" borderId="25" xfId="15" applyFont="1" applyFill="1" applyBorder="1" applyAlignment="1" applyProtection="1">
      <alignment horizontal="center" vertical="center" wrapText="1"/>
      <protection/>
    </xf>
    <xf numFmtId="0" fontId="7" fillId="0" borderId="36" xfId="15" applyFont="1" applyFill="1" applyBorder="1" applyAlignment="1" applyProtection="1">
      <alignment horizontal="center" vertical="center" wrapText="1"/>
      <protection/>
    </xf>
    <xf numFmtId="0" fontId="7" fillId="0" borderId="37" xfId="15" applyFont="1" applyFill="1" applyBorder="1" applyAlignment="1" applyProtection="1">
      <alignment horizontal="center" vertical="center" wrapText="1"/>
      <protection/>
    </xf>
    <xf numFmtId="0" fontId="13" fillId="0" borderId="38" xfId="15" applyFont="1" applyFill="1" applyBorder="1" applyAlignment="1" applyProtection="1">
      <alignment horizontal="center" vertical="center" wrapText="1"/>
      <protection/>
    </xf>
    <xf numFmtId="0" fontId="13" fillId="0" borderId="12" xfId="15" applyFont="1" applyFill="1" applyBorder="1" applyAlignment="1" applyProtection="1">
      <alignment horizontal="center" vertical="center" wrapText="1"/>
      <protection/>
    </xf>
    <xf numFmtId="0" fontId="13" fillId="0" borderId="39" xfId="15" applyFont="1" applyFill="1" applyBorder="1" applyAlignment="1" applyProtection="1">
      <alignment horizontal="center" vertical="center" wrapText="1"/>
      <protection/>
    </xf>
    <xf numFmtId="0" fontId="7" fillId="0" borderId="38" xfId="15" applyFont="1" applyFill="1" applyBorder="1" applyAlignment="1" applyProtection="1">
      <alignment horizontal="center" vertical="center" wrapText="1"/>
      <protection/>
    </xf>
    <xf numFmtId="0" fontId="7" fillId="0" borderId="12" xfId="15" applyFont="1" applyFill="1" applyBorder="1" applyAlignment="1" applyProtection="1">
      <alignment horizontal="center" vertical="center" wrapText="1"/>
      <protection/>
    </xf>
    <xf numFmtId="0" fontId="7" fillId="0" borderId="39" xfId="1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13" fillId="0" borderId="40" xfId="15" applyFont="1" applyFill="1" applyBorder="1" applyAlignment="1" applyProtection="1">
      <alignment horizontal="center" vertical="top"/>
      <protection/>
    </xf>
    <xf numFmtId="0" fontId="13" fillId="0" borderId="41" xfId="15" applyFont="1" applyFill="1" applyBorder="1" applyAlignment="1" applyProtection="1">
      <alignment horizontal="center" vertical="top"/>
      <protection/>
    </xf>
    <xf numFmtId="0" fontId="13" fillId="0" borderId="42" xfId="15" applyFont="1" applyFill="1" applyBorder="1" applyAlignment="1" applyProtection="1">
      <alignment horizontal="center" vertical="top"/>
      <protection/>
    </xf>
    <xf numFmtId="0" fontId="13" fillId="0" borderId="40" xfId="15" applyFont="1" applyFill="1" applyBorder="1" applyAlignment="1" applyProtection="1">
      <alignment horizontal="center" vertical="center"/>
      <protection/>
    </xf>
    <xf numFmtId="0" fontId="13" fillId="0" borderId="41" xfId="15" applyFont="1" applyFill="1" applyBorder="1" applyAlignment="1" applyProtection="1">
      <alignment horizontal="center" vertical="center"/>
      <protection/>
    </xf>
    <xf numFmtId="0" fontId="13" fillId="0" borderId="42" xfId="15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7" fillId="0" borderId="40" xfId="15" applyFont="1" applyFill="1" applyBorder="1" applyAlignment="1" applyProtection="1">
      <alignment horizontal="center" vertical="center"/>
      <protection/>
    </xf>
    <xf numFmtId="0" fontId="7" fillId="0" borderId="41" xfId="15" applyFont="1" applyFill="1" applyBorder="1" applyAlignment="1" applyProtection="1">
      <alignment horizontal="center" vertical="center"/>
      <protection/>
    </xf>
    <xf numFmtId="0" fontId="7" fillId="0" borderId="42" xfId="15" applyFont="1" applyFill="1" applyBorder="1" applyAlignment="1" applyProtection="1">
      <alignment horizontal="center" vertical="center"/>
      <protection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" fillId="0" borderId="0" xfId="15" applyFont="1" applyFill="1" applyAlignment="1" applyProtection="1">
      <alignment horizontal="left" vertical="center"/>
      <protection/>
    </xf>
  </cellXfs>
  <cellStyles count="51">
    <cellStyle name="Normal" xfId="0"/>
    <cellStyle name="0,0&#13;&#10;NA&#13;&#10;" xfId="15"/>
    <cellStyle name="0,0&#13;&#10;NA&#13;&#10;_DELs Report October 2007 (New Format) 14.11.07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27"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u val="single"/>
      </font>
    </dxf>
    <dxf>
      <font>
        <u val="singl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07175"/>
          <c:w val="0.968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'TD-WD'!$B$1</c:f>
              <c:strCache>
                <c:ptCount val="1"/>
                <c:pt idx="0">
                  <c:v>Total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'TD-WD'!$A$2:$A$8</c:f>
              <c:strCache/>
            </c:strRef>
          </c:cat>
          <c:val>
            <c:numRef>
              <c:f>'TD-WD'!$B$2:$B$8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7491055"/>
        <c:axId val="46092904"/>
      </c:barChart>
      <c:catAx>
        <c:axId val="2749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92904"/>
        <c:crosses val="autoZero"/>
        <c:auto val="1"/>
        <c:lblOffset val="100"/>
        <c:tickLblSkip val="1"/>
        <c:noMultiLvlLbl val="0"/>
      </c:catAx>
      <c:valAx>
        <c:axId val="46092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91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12175"/>
          <c:w val="0.93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'TD-WD'!$E$1</c:f>
              <c:strCache>
                <c:ptCount val="1"/>
                <c:pt idx="0">
                  <c:v>Wireline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'TD-WD'!$D$2:$D$8</c:f>
              <c:strCache/>
            </c:strRef>
          </c:cat>
          <c:val>
            <c:numRef>
              <c:f>'TD-WD'!$E$2:$E$8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2182953"/>
        <c:axId val="42537714"/>
      </c:barChart>
      <c:catAx>
        <c:axId val="1218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537714"/>
        <c:crosses val="autoZero"/>
        <c:auto val="1"/>
        <c:lblOffset val="100"/>
        <c:tickLblSkip val="1"/>
        <c:noMultiLvlLbl val="0"/>
      </c:catAx>
      <c:valAx>
        <c:axId val="42537714"/>
        <c:scaling>
          <c:orientation val="minMax"/>
          <c:min val="-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82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07175"/>
          <c:w val="0.9687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'WD-CD'!$B$1</c:f>
              <c:strCache>
                <c:ptCount val="1"/>
                <c:pt idx="0">
                  <c:v>WLL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'WD-CD'!$A$2:$A$8</c:f>
              <c:strCache/>
            </c:strRef>
          </c:cat>
          <c:val>
            <c:numRef>
              <c:f>'WD-CD'!$B$2:$B$8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7295107"/>
        <c:axId val="23002780"/>
      </c:barChart>
      <c:catAx>
        <c:axId val="4729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002780"/>
        <c:crosses val="autoZero"/>
        <c:auto val="1"/>
        <c:lblOffset val="100"/>
        <c:tickLblSkip val="1"/>
        <c:noMultiLvlLbl val="0"/>
      </c:catAx>
      <c:valAx>
        <c:axId val="23002780"/>
        <c:scaling>
          <c:orientation val="minMax"/>
          <c:max val="1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95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925"/>
          <c:y val="0.06525"/>
          <c:w val="0.941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'WD-CD'!$E$1</c:f>
              <c:strCache>
                <c:ptCount val="1"/>
                <c:pt idx="0">
                  <c:v>Cellular mobile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'WD-CD'!$D$2:$D$8</c:f>
              <c:strCache/>
            </c:strRef>
          </c:cat>
          <c:val>
            <c:numRef>
              <c:f>'WD-CD'!$E$2:$E$8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698429"/>
        <c:axId val="51285862"/>
      </c:barChart>
      <c:catAx>
        <c:axId val="569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285862"/>
        <c:crosses val="autoZero"/>
        <c:auto val="1"/>
        <c:lblOffset val="100"/>
        <c:tickLblSkip val="1"/>
        <c:noMultiLvlLbl val="0"/>
      </c:catAx>
      <c:valAx>
        <c:axId val="51285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8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07175"/>
          <c:w val="0.968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'BB-INTER'!$B$1</c:f>
              <c:strCache>
                <c:ptCount val="1"/>
                <c:pt idx="0">
                  <c:v>Broadband connection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'BB-INTER'!$A$2:$A$8</c:f>
              <c:strCache/>
            </c:strRef>
          </c:cat>
          <c:val>
            <c:numRef>
              <c:f>'BB-INTER'!$B$2:$B$8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8919575"/>
        <c:axId val="60514128"/>
      </c:barChart>
      <c:catAx>
        <c:axId val="58919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14128"/>
        <c:crosses val="autoZero"/>
        <c:auto val="1"/>
        <c:lblOffset val="100"/>
        <c:tickLblSkip val="1"/>
        <c:noMultiLvlLbl val="0"/>
      </c:catAx>
      <c:valAx>
        <c:axId val="60514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9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4"/>
          <c:y val="0.06525"/>
          <c:w val="0.936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'BB-INTER'!$E$1</c:f>
              <c:strCache>
                <c:ptCount val="1"/>
                <c:pt idx="0">
                  <c:v>Internet Connection (in Nos)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29,161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24,760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24,439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16,556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25,460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14098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14,098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'BB-INTER'!$D$2:$D$8</c:f>
              <c:strCache/>
            </c:strRef>
          </c:cat>
          <c:val>
            <c:numRef>
              <c:f>'BB-INTER'!$E$2:$E$8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7756241"/>
        <c:axId val="2697306"/>
      </c:barChart>
      <c:catAx>
        <c:axId val="7756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97306"/>
        <c:crosses val="autoZero"/>
        <c:auto val="1"/>
        <c:lblOffset val="100"/>
        <c:tickLblSkip val="1"/>
        <c:noMultiLvlLbl val="0"/>
      </c:catAx>
      <c:valAx>
        <c:axId val="2697306"/>
        <c:scaling>
          <c:orientation val="minMax"/>
          <c:max val="3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56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6</xdr:col>
      <xdr:colOff>180975</xdr:colOff>
      <xdr:row>45</xdr:row>
      <xdr:rowOff>95250</xdr:rowOff>
    </xdr:to>
    <xdr:graphicFrame>
      <xdr:nvGraphicFramePr>
        <xdr:cNvPr id="1" name="Chart 4"/>
        <xdr:cNvGraphicFramePr/>
      </xdr:nvGraphicFramePr>
      <xdr:xfrm>
        <a:off x="0" y="2095500"/>
        <a:ext cx="44672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12</xdr:row>
      <xdr:rowOff>19050</xdr:rowOff>
    </xdr:from>
    <xdr:to>
      <xdr:col>12</xdr:col>
      <xdr:colOff>685800</xdr:colOff>
      <xdr:row>45</xdr:row>
      <xdr:rowOff>123825</xdr:rowOff>
    </xdr:to>
    <xdr:graphicFrame>
      <xdr:nvGraphicFramePr>
        <xdr:cNvPr id="2" name="Chart 5"/>
        <xdr:cNvGraphicFramePr/>
      </xdr:nvGraphicFramePr>
      <xdr:xfrm>
        <a:off x="4743450" y="2066925"/>
        <a:ext cx="45148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6</xdr:col>
      <xdr:colOff>133350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0" y="2095500"/>
        <a:ext cx="44196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12</xdr:row>
      <xdr:rowOff>19050</xdr:rowOff>
    </xdr:from>
    <xdr:to>
      <xdr:col>12</xdr:col>
      <xdr:colOff>704850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4772025" y="2066925"/>
        <a:ext cx="45053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47625</xdr:rowOff>
    </xdr:from>
    <xdr:to>
      <xdr:col>6</xdr:col>
      <xdr:colOff>180975</xdr:colOff>
      <xdr:row>46</xdr:row>
      <xdr:rowOff>95250</xdr:rowOff>
    </xdr:to>
    <xdr:graphicFrame>
      <xdr:nvGraphicFramePr>
        <xdr:cNvPr id="1" name="Chart 4"/>
        <xdr:cNvGraphicFramePr/>
      </xdr:nvGraphicFramePr>
      <xdr:xfrm>
        <a:off x="0" y="2257425"/>
        <a:ext cx="44672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13</xdr:row>
      <xdr:rowOff>19050</xdr:rowOff>
    </xdr:from>
    <xdr:to>
      <xdr:col>12</xdr:col>
      <xdr:colOff>685800</xdr:colOff>
      <xdr:row>46</xdr:row>
      <xdr:rowOff>123825</xdr:rowOff>
    </xdr:to>
    <xdr:graphicFrame>
      <xdr:nvGraphicFramePr>
        <xdr:cNvPr id="2" name="Chart 5"/>
        <xdr:cNvGraphicFramePr/>
      </xdr:nvGraphicFramePr>
      <xdr:xfrm>
        <a:off x="4743450" y="2228850"/>
        <a:ext cx="45148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koul\Desktop\Manager%20(LTP-1)\DELs%20Report\DELs%202010-11\DELs%20Report%20Mar-11(MI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11(1)"/>
      <sheetName val="Mar 11(2)"/>
      <sheetName val="Mar 11(3)"/>
      <sheetName val="Mar 11 (4&amp;5)"/>
      <sheetName val="Mar 11(6)"/>
      <sheetName val="Mar 11(7)"/>
      <sheetName val="WL (8&amp;9)"/>
      <sheetName val="WLL (10&amp;11)"/>
      <sheetName val="Mobile (12&amp;13)"/>
      <sheetName val="Total (14&amp;15)"/>
      <sheetName val="Sheet1"/>
      <sheetName val="Sheet2"/>
    </sheetNames>
    <sheetDataSet>
      <sheetData sheetId="5">
        <row r="8">
          <cell r="U8">
            <v>0</v>
          </cell>
        </row>
        <row r="9">
          <cell r="U9">
            <v>11</v>
          </cell>
        </row>
        <row r="10">
          <cell r="U10">
            <v>21</v>
          </cell>
        </row>
        <row r="11">
          <cell r="U11">
            <v>3</v>
          </cell>
        </row>
        <row r="12">
          <cell r="U12">
            <v>7</v>
          </cell>
        </row>
        <row r="13">
          <cell r="U13">
            <v>-5</v>
          </cell>
        </row>
        <row r="14">
          <cell r="U14">
            <v>43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2</v>
          </cell>
        </row>
        <row r="18">
          <cell r="U18">
            <v>0</v>
          </cell>
        </row>
        <row r="19">
          <cell r="U19">
            <v>388</v>
          </cell>
        </row>
        <row r="20">
          <cell r="U20">
            <v>6</v>
          </cell>
        </row>
        <row r="21">
          <cell r="U21">
            <v>-26</v>
          </cell>
        </row>
        <row r="22">
          <cell r="U22">
            <v>-3</v>
          </cell>
        </row>
        <row r="23">
          <cell r="U23">
            <v>3</v>
          </cell>
        </row>
        <row r="24">
          <cell r="U24">
            <v>17</v>
          </cell>
        </row>
        <row r="25">
          <cell r="U25">
            <v>276</v>
          </cell>
        </row>
        <row r="26">
          <cell r="U26">
            <v>6</v>
          </cell>
        </row>
        <row r="27">
          <cell r="U27">
            <v>20</v>
          </cell>
        </row>
        <row r="28">
          <cell r="U28">
            <v>2</v>
          </cell>
        </row>
        <row r="29">
          <cell r="U29">
            <v>40</v>
          </cell>
        </row>
        <row r="30">
          <cell r="U30">
            <v>85</v>
          </cell>
        </row>
        <row r="31">
          <cell r="U31">
            <v>5</v>
          </cell>
        </row>
        <row r="32">
          <cell r="U32">
            <v>0</v>
          </cell>
        </row>
        <row r="33">
          <cell r="U33">
            <v>1</v>
          </cell>
        </row>
        <row r="34">
          <cell r="U34">
            <v>902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2"/>
  <sheetViews>
    <sheetView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" sqref="Q1"/>
    </sheetView>
  </sheetViews>
  <sheetFormatPr defaultColWidth="7.8515625" defaultRowHeight="12.75"/>
  <cols>
    <col min="1" max="1" width="4.421875" style="50" customWidth="1"/>
    <col min="2" max="2" width="12.421875" style="50" customWidth="1"/>
    <col min="3" max="3" width="11.57421875" style="50" customWidth="1"/>
    <col min="4" max="4" width="10.00390625" style="50" customWidth="1"/>
    <col min="5" max="5" width="11.7109375" style="50" customWidth="1"/>
    <col min="6" max="6" width="12.7109375" style="50" customWidth="1"/>
    <col min="7" max="7" width="11.00390625" style="50" customWidth="1"/>
    <col min="8" max="8" width="9.8515625" style="50" customWidth="1"/>
    <col min="9" max="9" width="11.7109375" style="50" customWidth="1"/>
    <col min="10" max="10" width="11.57421875" style="50" customWidth="1"/>
    <col min="11" max="12" width="10.57421875" style="50" hidden="1" customWidth="1"/>
    <col min="13" max="13" width="11.7109375" style="50" hidden="1" customWidth="1"/>
    <col min="14" max="14" width="12.140625" style="50" hidden="1" customWidth="1"/>
    <col min="15" max="15" width="11.8515625" style="195" customWidth="1"/>
    <col min="16" max="16" width="10.140625" style="195" customWidth="1"/>
    <col min="17" max="18" width="11.57421875" style="195" customWidth="1"/>
    <col min="19" max="19" width="9.8515625" style="50" customWidth="1"/>
    <col min="20" max="20" width="9.421875" style="50" customWidth="1"/>
    <col min="21" max="21" width="10.28125" style="50" customWidth="1"/>
    <col min="22" max="22" width="9.8515625" style="50" customWidth="1"/>
    <col min="23" max="23" width="10.57421875" style="51" customWidth="1"/>
    <col min="24" max="24" width="9.7109375" style="51" customWidth="1"/>
    <col min="25" max="25" width="11.57421875" style="50" customWidth="1"/>
    <col min="26" max="26" width="10.28125" style="50" customWidth="1"/>
    <col min="27" max="27" width="12.57421875" style="50" customWidth="1"/>
    <col min="28" max="28" width="12.8515625" style="50" customWidth="1"/>
    <col min="29" max="29" width="11.57421875" style="50" customWidth="1"/>
    <col min="30" max="30" width="10.28125" style="50" customWidth="1"/>
    <col min="31" max="31" width="11.421875" style="50" customWidth="1"/>
    <col min="32" max="32" width="10.57421875" style="50" customWidth="1"/>
    <col min="33" max="33" width="4.57421875" style="50" customWidth="1"/>
    <col min="34" max="34" width="17.421875" style="50" customWidth="1"/>
    <col min="35" max="35" width="9.00390625" style="50" customWidth="1"/>
    <col min="36" max="36" width="7.8515625" style="50" customWidth="1"/>
    <col min="37" max="37" width="10.421875" style="50" customWidth="1"/>
    <col min="38" max="50" width="7.8515625" style="50" customWidth="1"/>
    <col min="51" max="51" width="13.7109375" style="50" customWidth="1"/>
    <col min="52" max="16384" width="7.8515625" style="50" customWidth="1"/>
  </cols>
  <sheetData>
    <row r="1" spans="1:26" ht="16.5" customHeight="1">
      <c r="A1" s="41" t="s">
        <v>201</v>
      </c>
      <c r="B1" s="39"/>
      <c r="C1" s="39"/>
      <c r="D1" s="39"/>
      <c r="E1" s="39"/>
      <c r="F1" s="39"/>
      <c r="G1" s="39"/>
      <c r="H1" s="39"/>
      <c r="I1" s="39"/>
      <c r="J1" s="353"/>
      <c r="K1" s="187"/>
      <c r="L1" s="187"/>
      <c r="M1" s="39"/>
      <c r="N1" s="187"/>
      <c r="O1" s="362"/>
      <c r="P1" s="376"/>
      <c r="Q1" s="197"/>
      <c r="S1" s="39" t="s">
        <v>174</v>
      </c>
      <c r="T1" s="39"/>
      <c r="U1" s="187"/>
      <c r="V1" s="39"/>
      <c r="W1" s="39"/>
      <c r="X1" s="39"/>
      <c r="Y1" s="78" t="s">
        <v>198</v>
      </c>
      <c r="Z1" s="39"/>
    </row>
    <row r="2" spans="1:26" ht="9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S2" s="39"/>
      <c r="T2" s="39"/>
      <c r="U2" s="39"/>
      <c r="V2" s="39"/>
      <c r="W2" s="39"/>
      <c r="X2" s="39"/>
      <c r="Y2" s="39"/>
      <c r="Z2" s="39"/>
    </row>
    <row r="3" spans="1:26" ht="31.5" customHeight="1">
      <c r="A3" s="414" t="s">
        <v>18</v>
      </c>
      <c r="B3" s="412" t="s">
        <v>17</v>
      </c>
      <c r="C3" s="418" t="s">
        <v>175</v>
      </c>
      <c r="D3" s="419"/>
      <c r="E3" s="419"/>
      <c r="F3" s="420"/>
      <c r="G3" s="418" t="s">
        <v>176</v>
      </c>
      <c r="H3" s="419"/>
      <c r="I3" s="419"/>
      <c r="J3" s="420"/>
      <c r="K3" s="418" t="s">
        <v>214</v>
      </c>
      <c r="L3" s="419"/>
      <c r="M3" s="419"/>
      <c r="N3" s="420"/>
      <c r="O3" s="415" t="s">
        <v>213</v>
      </c>
      <c r="P3" s="416"/>
      <c r="Q3" s="416"/>
      <c r="R3" s="417"/>
      <c r="S3" s="414" t="s">
        <v>25</v>
      </c>
      <c r="T3" s="414"/>
      <c r="U3" s="414"/>
      <c r="V3" s="414"/>
      <c r="W3" s="414"/>
      <c r="X3" s="414"/>
      <c r="Y3" s="414"/>
      <c r="Z3" s="414"/>
    </row>
    <row r="4" spans="1:31" ht="21" customHeight="1">
      <c r="A4" s="414"/>
      <c r="B4" s="422"/>
      <c r="C4" s="412" t="s">
        <v>26</v>
      </c>
      <c r="D4" s="412" t="s">
        <v>20</v>
      </c>
      <c r="E4" s="412" t="s">
        <v>1</v>
      </c>
      <c r="F4" s="412" t="s">
        <v>2</v>
      </c>
      <c r="G4" s="412" t="s">
        <v>145</v>
      </c>
      <c r="H4" s="412" t="s">
        <v>20</v>
      </c>
      <c r="I4" s="412" t="s">
        <v>1</v>
      </c>
      <c r="J4" s="412" t="s">
        <v>2</v>
      </c>
      <c r="K4" s="412" t="s">
        <v>26</v>
      </c>
      <c r="L4" s="412" t="s">
        <v>20</v>
      </c>
      <c r="M4" s="412" t="s">
        <v>1</v>
      </c>
      <c r="N4" s="412" t="s">
        <v>2</v>
      </c>
      <c r="O4" s="412" t="s">
        <v>26</v>
      </c>
      <c r="P4" s="412" t="s">
        <v>20</v>
      </c>
      <c r="Q4" s="412" t="s">
        <v>1</v>
      </c>
      <c r="R4" s="414" t="s">
        <v>2</v>
      </c>
      <c r="S4" s="414" t="s">
        <v>0</v>
      </c>
      <c r="T4" s="414"/>
      <c r="U4" s="414"/>
      <c r="V4" s="414"/>
      <c r="W4" s="414" t="s">
        <v>177</v>
      </c>
      <c r="X4" s="414"/>
      <c r="Y4" s="414"/>
      <c r="Z4" s="414"/>
      <c r="AB4" s="411" t="s">
        <v>14</v>
      </c>
      <c r="AC4" s="411"/>
      <c r="AD4" s="411" t="s">
        <v>57</v>
      </c>
      <c r="AE4" s="411"/>
    </row>
    <row r="5" spans="1:31" ht="33" customHeight="1">
      <c r="A5" s="414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4"/>
      <c r="S5" s="198" t="s">
        <v>26</v>
      </c>
      <c r="T5" s="198" t="s">
        <v>20</v>
      </c>
      <c r="U5" s="198" t="s">
        <v>1</v>
      </c>
      <c r="V5" s="198" t="s">
        <v>2</v>
      </c>
      <c r="W5" s="198" t="s">
        <v>26</v>
      </c>
      <c r="X5" s="198" t="s">
        <v>20</v>
      </c>
      <c r="Y5" s="198" t="s">
        <v>1</v>
      </c>
      <c r="Z5" s="198" t="s">
        <v>2</v>
      </c>
      <c r="AB5" s="216" t="s">
        <v>160</v>
      </c>
      <c r="AC5" s="216" t="s">
        <v>161</v>
      </c>
      <c r="AD5" s="216" t="s">
        <v>160</v>
      </c>
      <c r="AE5" s="216" t="s">
        <v>161</v>
      </c>
    </row>
    <row r="6" spans="1:35" ht="24.75" customHeight="1">
      <c r="A6" s="24">
        <v>1</v>
      </c>
      <c r="B6" s="25" t="s">
        <v>39</v>
      </c>
      <c r="C6" s="333">
        <v>15906</v>
      </c>
      <c r="D6" s="333">
        <v>9966</v>
      </c>
      <c r="E6" s="333">
        <v>183067</v>
      </c>
      <c r="F6" s="26">
        <f>C6+D6+E6</f>
        <v>208939</v>
      </c>
      <c r="G6" s="371">
        <v>100</v>
      </c>
      <c r="H6" s="371">
        <v>1800</v>
      </c>
      <c r="I6" s="371">
        <v>26800</v>
      </c>
      <c r="J6" s="26">
        <f>G6+H6+I6</f>
        <v>28700</v>
      </c>
      <c r="K6" s="333">
        <v>15627</v>
      </c>
      <c r="L6" s="333">
        <v>10083</v>
      </c>
      <c r="M6" s="333">
        <v>185438</v>
      </c>
      <c r="N6" s="26">
        <f>K6+L6+M6</f>
        <v>211148</v>
      </c>
      <c r="O6" s="333">
        <v>15126</v>
      </c>
      <c r="P6" s="333">
        <v>10427</v>
      </c>
      <c r="Q6" s="333">
        <v>188352</v>
      </c>
      <c r="R6" s="35">
        <f>O6+P6+Q6</f>
        <v>213905</v>
      </c>
      <c r="S6" s="68">
        <f>O6-K6</f>
        <v>-501</v>
      </c>
      <c r="T6" s="68">
        <f>P6-L6</f>
        <v>344</v>
      </c>
      <c r="U6" s="68">
        <f>Q6-M6</f>
        <v>2914</v>
      </c>
      <c r="V6" s="26">
        <f aca="true" t="shared" si="0" ref="V6:V31">SUM(S6:U6)</f>
        <v>2757</v>
      </c>
      <c r="W6" s="26">
        <f>O6-C6</f>
        <v>-780</v>
      </c>
      <c r="X6" s="26">
        <f>P6-D6</f>
        <v>461</v>
      </c>
      <c r="Y6" s="26">
        <f>Q6-E6</f>
        <v>5285</v>
      </c>
      <c r="Z6" s="26">
        <f aca="true" t="shared" si="1" ref="Z6:Z31">SUM(W6:Y6)</f>
        <v>4966</v>
      </c>
      <c r="AA6" s="119"/>
      <c r="AB6" s="309">
        <f>T6/H6*100</f>
        <v>19.11111111111111</v>
      </c>
      <c r="AC6" s="309">
        <f>U6/I6*100</f>
        <v>10.87313432835821</v>
      </c>
      <c r="AD6" s="310">
        <f>X6/H6*100</f>
        <v>25.61111111111111</v>
      </c>
      <c r="AE6" s="310">
        <f>Y6/I6*100</f>
        <v>19.720149253731343</v>
      </c>
      <c r="AF6" s="51"/>
      <c r="AG6" s="51"/>
      <c r="AH6" s="51"/>
      <c r="AI6" s="51"/>
    </row>
    <row r="7" spans="1:35" ht="24.75" customHeight="1">
      <c r="A7" s="27">
        <v>2</v>
      </c>
      <c r="B7" s="28" t="s">
        <v>65</v>
      </c>
      <c r="C7" s="33">
        <v>1970060</v>
      </c>
      <c r="D7" s="33">
        <v>215963</v>
      </c>
      <c r="E7" s="33">
        <v>8804278</v>
      </c>
      <c r="F7" s="29">
        <f aca="true" t="shared" si="2" ref="F7:F31">C7+D7+E7</f>
        <v>10990301</v>
      </c>
      <c r="G7" s="372">
        <v>12000</v>
      </c>
      <c r="H7" s="372">
        <v>27000</v>
      </c>
      <c r="I7" s="372">
        <v>730700</v>
      </c>
      <c r="J7" s="29">
        <f aca="true" t="shared" si="3" ref="J7:J30">G7+H7+I7</f>
        <v>769700</v>
      </c>
      <c r="K7" s="33">
        <v>1956092</v>
      </c>
      <c r="L7" s="33">
        <v>214027</v>
      </c>
      <c r="M7" s="33">
        <v>8804526</v>
      </c>
      <c r="N7" s="26">
        <f aca="true" t="shared" si="4" ref="N7:N31">K7+L7+M7</f>
        <v>10974645</v>
      </c>
      <c r="O7" s="33">
        <v>1935846</v>
      </c>
      <c r="P7" s="33">
        <v>208215</v>
      </c>
      <c r="Q7" s="33">
        <v>8813909</v>
      </c>
      <c r="R7" s="33">
        <f>O7+P7+Q7</f>
        <v>10957970</v>
      </c>
      <c r="S7" s="66">
        <f aca="true" t="shared" si="5" ref="S7:S31">O7-K7</f>
        <v>-20246</v>
      </c>
      <c r="T7" s="66">
        <f aca="true" t="shared" si="6" ref="T7:T31">P7-L7</f>
        <v>-5812</v>
      </c>
      <c r="U7" s="66">
        <f aca="true" t="shared" si="7" ref="U7:U31">Q7-M7</f>
        <v>9383</v>
      </c>
      <c r="V7" s="29">
        <f t="shared" si="0"/>
        <v>-16675</v>
      </c>
      <c r="W7" s="29">
        <f aca="true" t="shared" si="8" ref="W7:W31">O7-C7</f>
        <v>-34214</v>
      </c>
      <c r="X7" s="29">
        <f aca="true" t="shared" si="9" ref="X7:X31">P7-D7</f>
        <v>-7748</v>
      </c>
      <c r="Y7" s="29">
        <f aca="true" t="shared" si="10" ref="Y7:Y31">Q7-E7</f>
        <v>9631</v>
      </c>
      <c r="Z7" s="29">
        <f t="shared" si="1"/>
        <v>-32331</v>
      </c>
      <c r="AA7" s="119"/>
      <c r="AB7" s="309">
        <f aca="true" t="shared" si="11" ref="AB7:AC32">T7/H7*100</f>
        <v>-21.525925925925925</v>
      </c>
      <c r="AC7" s="309">
        <f t="shared" si="11"/>
        <v>1.28411112631723</v>
      </c>
      <c r="AD7" s="310">
        <f aca="true" t="shared" si="12" ref="AD7:AD32">X7/H7*100</f>
        <v>-28.696296296296296</v>
      </c>
      <c r="AE7" s="310">
        <f aca="true" t="shared" si="13" ref="AE7:AE30">Y7/I7*100</f>
        <v>1.3180511837963598</v>
      </c>
      <c r="AF7" s="51"/>
      <c r="AG7" s="51"/>
      <c r="AH7" s="51"/>
      <c r="AI7" s="51"/>
    </row>
    <row r="8" spans="1:44" ht="24.75" customHeight="1">
      <c r="A8" s="30">
        <v>3</v>
      </c>
      <c r="B8" s="31" t="s">
        <v>3</v>
      </c>
      <c r="C8" s="34">
        <v>227229</v>
      </c>
      <c r="D8" s="34">
        <v>103900</v>
      </c>
      <c r="E8" s="34">
        <v>1161479</v>
      </c>
      <c r="F8" s="32">
        <f t="shared" si="2"/>
        <v>1492608</v>
      </c>
      <c r="G8" s="373">
        <v>600</v>
      </c>
      <c r="H8" s="373">
        <v>10800</v>
      </c>
      <c r="I8" s="373">
        <v>277100</v>
      </c>
      <c r="J8" s="32">
        <f t="shared" si="3"/>
        <v>288500</v>
      </c>
      <c r="K8" s="34">
        <v>225610</v>
      </c>
      <c r="L8" s="34">
        <v>103972</v>
      </c>
      <c r="M8" s="34">
        <v>1168214</v>
      </c>
      <c r="N8" s="26">
        <f t="shared" si="4"/>
        <v>1497796</v>
      </c>
      <c r="O8" s="34">
        <v>200833</v>
      </c>
      <c r="P8" s="34">
        <v>104035</v>
      </c>
      <c r="Q8" s="34">
        <v>1166617</v>
      </c>
      <c r="R8" s="34">
        <f>O8+P8+Q8</f>
        <v>1471485</v>
      </c>
      <c r="S8" s="67">
        <f t="shared" si="5"/>
        <v>-24777</v>
      </c>
      <c r="T8" s="67">
        <f t="shared" si="6"/>
        <v>63</v>
      </c>
      <c r="U8" s="67">
        <f t="shared" si="7"/>
        <v>-1597</v>
      </c>
      <c r="V8" s="32">
        <f t="shared" si="0"/>
        <v>-26311</v>
      </c>
      <c r="W8" s="32">
        <f t="shared" si="8"/>
        <v>-26396</v>
      </c>
      <c r="X8" s="32">
        <f t="shared" si="9"/>
        <v>135</v>
      </c>
      <c r="Y8" s="32">
        <f t="shared" si="10"/>
        <v>5138</v>
      </c>
      <c r="Z8" s="32">
        <f t="shared" si="1"/>
        <v>-21123</v>
      </c>
      <c r="AA8" s="119"/>
      <c r="AB8" s="309">
        <f t="shared" si="11"/>
        <v>0.5833333333333334</v>
      </c>
      <c r="AC8" s="309">
        <f t="shared" si="11"/>
        <v>-0.5763262360158787</v>
      </c>
      <c r="AD8" s="310">
        <f t="shared" si="12"/>
        <v>1.25</v>
      </c>
      <c r="AE8" s="310">
        <f t="shared" si="13"/>
        <v>1.8542042583904728</v>
      </c>
      <c r="AF8" s="51"/>
      <c r="AG8" s="51"/>
      <c r="AH8" s="51"/>
      <c r="AI8" s="51"/>
      <c r="AR8" s="50" t="s">
        <v>4</v>
      </c>
    </row>
    <row r="9" spans="1:44" ht="24.75" customHeight="1">
      <c r="A9" s="24">
        <v>4</v>
      </c>
      <c r="B9" s="25" t="s">
        <v>31</v>
      </c>
      <c r="C9" s="35">
        <v>379752</v>
      </c>
      <c r="D9" s="35">
        <v>284141</v>
      </c>
      <c r="E9" s="35">
        <v>4146820</v>
      </c>
      <c r="F9" s="26">
        <f t="shared" si="2"/>
        <v>4810713</v>
      </c>
      <c r="G9" s="371">
        <v>1000</v>
      </c>
      <c r="H9" s="371">
        <v>9000</v>
      </c>
      <c r="I9" s="371">
        <v>579900</v>
      </c>
      <c r="J9" s="26">
        <f t="shared" si="3"/>
        <v>589900</v>
      </c>
      <c r="K9" s="35">
        <v>379578</v>
      </c>
      <c r="L9" s="35">
        <v>132326</v>
      </c>
      <c r="M9" s="35">
        <v>4152190</v>
      </c>
      <c r="N9" s="26">
        <f t="shared" si="4"/>
        <v>4664094</v>
      </c>
      <c r="O9" s="35">
        <v>380253</v>
      </c>
      <c r="P9" s="35">
        <v>132385</v>
      </c>
      <c r="Q9" s="35">
        <v>4183203</v>
      </c>
      <c r="R9" s="35">
        <f aca="true" t="shared" si="14" ref="R9:R31">O9+P9+Q9</f>
        <v>4695841</v>
      </c>
      <c r="S9" s="68">
        <f t="shared" si="5"/>
        <v>675</v>
      </c>
      <c r="T9" s="68">
        <f t="shared" si="6"/>
        <v>59</v>
      </c>
      <c r="U9" s="68">
        <f t="shared" si="7"/>
        <v>31013</v>
      </c>
      <c r="V9" s="26">
        <f t="shared" si="0"/>
        <v>31747</v>
      </c>
      <c r="W9" s="26">
        <f t="shared" si="8"/>
        <v>501</v>
      </c>
      <c r="X9" s="26">
        <f t="shared" si="9"/>
        <v>-151756</v>
      </c>
      <c r="Y9" s="26">
        <f t="shared" si="10"/>
        <v>36383</v>
      </c>
      <c r="Z9" s="26">
        <f t="shared" si="1"/>
        <v>-114872</v>
      </c>
      <c r="AA9" s="119"/>
      <c r="AB9" s="309">
        <f t="shared" si="11"/>
        <v>0.6555555555555556</v>
      </c>
      <c r="AC9" s="309">
        <f t="shared" si="11"/>
        <v>5.347991032936713</v>
      </c>
      <c r="AD9" s="310">
        <f t="shared" si="12"/>
        <v>-1686.177777777778</v>
      </c>
      <c r="AE9" s="310">
        <f t="shared" si="13"/>
        <v>6.274012760820831</v>
      </c>
      <c r="AF9" s="51"/>
      <c r="AG9" s="51"/>
      <c r="AH9" s="51"/>
      <c r="AI9" s="51"/>
      <c r="AR9" s="50" t="s">
        <v>4</v>
      </c>
    </row>
    <row r="10" spans="1:44" ht="24.75" customHeight="1">
      <c r="A10" s="27">
        <v>5</v>
      </c>
      <c r="B10" s="28" t="s">
        <v>5</v>
      </c>
      <c r="C10" s="33">
        <v>147153</v>
      </c>
      <c r="D10" s="33">
        <v>130262</v>
      </c>
      <c r="E10" s="33">
        <v>1378965</v>
      </c>
      <c r="F10" s="29">
        <f t="shared" si="2"/>
        <v>1656380</v>
      </c>
      <c r="G10" s="372">
        <v>400</v>
      </c>
      <c r="H10" s="372">
        <v>12600</v>
      </c>
      <c r="I10" s="372">
        <v>130400</v>
      </c>
      <c r="J10" s="29">
        <f t="shared" si="3"/>
        <v>143400</v>
      </c>
      <c r="K10" s="33">
        <v>145860</v>
      </c>
      <c r="L10" s="33">
        <v>128112</v>
      </c>
      <c r="M10" s="33">
        <v>1413555</v>
      </c>
      <c r="N10" s="26">
        <f t="shared" si="4"/>
        <v>1687527</v>
      </c>
      <c r="O10" s="33">
        <v>145216</v>
      </c>
      <c r="P10" s="33">
        <v>126257</v>
      </c>
      <c r="Q10" s="33">
        <v>1440114</v>
      </c>
      <c r="R10" s="33">
        <f t="shared" si="14"/>
        <v>1711587</v>
      </c>
      <c r="S10" s="66">
        <f t="shared" si="5"/>
        <v>-644</v>
      </c>
      <c r="T10" s="66">
        <f>P10-L10</f>
        <v>-1855</v>
      </c>
      <c r="U10" s="66">
        <f t="shared" si="7"/>
        <v>26559</v>
      </c>
      <c r="V10" s="29">
        <f t="shared" si="0"/>
        <v>24060</v>
      </c>
      <c r="W10" s="29">
        <f t="shared" si="8"/>
        <v>-1937</v>
      </c>
      <c r="X10" s="29">
        <f t="shared" si="9"/>
        <v>-4005</v>
      </c>
      <c r="Y10" s="29">
        <f t="shared" si="10"/>
        <v>61149</v>
      </c>
      <c r="Z10" s="29">
        <f t="shared" si="1"/>
        <v>55207</v>
      </c>
      <c r="AA10" s="119"/>
      <c r="AB10" s="309">
        <f t="shared" si="11"/>
        <v>-14.722222222222223</v>
      </c>
      <c r="AC10" s="309">
        <f t="shared" si="11"/>
        <v>20.367331288343557</v>
      </c>
      <c r="AD10" s="310">
        <f t="shared" si="12"/>
        <v>-31.785714285714285</v>
      </c>
      <c r="AE10" s="310">
        <f t="shared" si="13"/>
        <v>46.89340490797546</v>
      </c>
      <c r="AF10" s="51"/>
      <c r="AG10" s="51"/>
      <c r="AH10" s="51"/>
      <c r="AI10" s="51"/>
      <c r="AR10" s="50" t="s">
        <v>4</v>
      </c>
    </row>
    <row r="11" spans="1:44" ht="24.75" customHeight="1">
      <c r="A11" s="30">
        <v>6</v>
      </c>
      <c r="B11" s="31" t="s">
        <v>32</v>
      </c>
      <c r="C11" s="34">
        <v>1598630</v>
      </c>
      <c r="D11" s="34">
        <v>231887</v>
      </c>
      <c r="E11" s="34">
        <v>4000739</v>
      </c>
      <c r="F11" s="32">
        <f t="shared" si="2"/>
        <v>5831256</v>
      </c>
      <c r="G11" s="373">
        <v>9000</v>
      </c>
      <c r="H11" s="373">
        <v>8100</v>
      </c>
      <c r="I11" s="373">
        <v>343500</v>
      </c>
      <c r="J11" s="32">
        <f t="shared" si="3"/>
        <v>360600</v>
      </c>
      <c r="K11" s="34">
        <v>1594198</v>
      </c>
      <c r="L11" s="34">
        <v>228185</v>
      </c>
      <c r="M11" s="34">
        <v>4015724</v>
      </c>
      <c r="N11" s="26">
        <f t="shared" si="4"/>
        <v>5838107</v>
      </c>
      <c r="O11" s="34">
        <v>1588543</v>
      </c>
      <c r="P11" s="34">
        <v>206001</v>
      </c>
      <c r="Q11" s="34">
        <v>3992589</v>
      </c>
      <c r="R11" s="34">
        <f t="shared" si="14"/>
        <v>5787133</v>
      </c>
      <c r="S11" s="67">
        <f>O11-K11</f>
        <v>-5655</v>
      </c>
      <c r="T11" s="67">
        <f t="shared" si="6"/>
        <v>-22184</v>
      </c>
      <c r="U11" s="67">
        <f t="shared" si="7"/>
        <v>-23135</v>
      </c>
      <c r="V11" s="32">
        <f t="shared" si="0"/>
        <v>-50974</v>
      </c>
      <c r="W11" s="32">
        <f t="shared" si="8"/>
        <v>-10087</v>
      </c>
      <c r="X11" s="32">
        <f t="shared" si="9"/>
        <v>-25886</v>
      </c>
      <c r="Y11" s="32">
        <f t="shared" si="10"/>
        <v>-8150</v>
      </c>
      <c r="Z11" s="32">
        <f t="shared" si="1"/>
        <v>-44123</v>
      </c>
      <c r="AA11" s="119"/>
      <c r="AB11" s="309">
        <f t="shared" si="11"/>
        <v>-273.87654320987656</v>
      </c>
      <c r="AC11" s="309">
        <f t="shared" si="11"/>
        <v>-6.735080058224163</v>
      </c>
      <c r="AD11" s="310">
        <f t="shared" si="12"/>
        <v>-319.58024691358025</v>
      </c>
      <c r="AE11" s="310">
        <f t="shared" si="13"/>
        <v>-2.3726346433770016</v>
      </c>
      <c r="AF11" s="51"/>
      <c r="AG11" s="51"/>
      <c r="AH11" s="51"/>
      <c r="AI11" s="51"/>
      <c r="AR11" s="50" t="s">
        <v>4</v>
      </c>
    </row>
    <row r="12" spans="1:44" ht="24.75" customHeight="1">
      <c r="A12" s="24">
        <v>7</v>
      </c>
      <c r="B12" s="44" t="s">
        <v>66</v>
      </c>
      <c r="C12" s="35">
        <v>542975</v>
      </c>
      <c r="D12" s="35">
        <v>26031</v>
      </c>
      <c r="E12" s="35">
        <v>2972891</v>
      </c>
      <c r="F12" s="26">
        <f t="shared" si="2"/>
        <v>3541897</v>
      </c>
      <c r="G12" s="371">
        <v>2000</v>
      </c>
      <c r="H12" s="371">
        <v>18000</v>
      </c>
      <c r="I12" s="371">
        <v>191200</v>
      </c>
      <c r="J12" s="26">
        <f t="shared" si="3"/>
        <v>211200</v>
      </c>
      <c r="K12" s="35">
        <v>539097</v>
      </c>
      <c r="L12" s="35">
        <v>25711</v>
      </c>
      <c r="M12" s="35">
        <v>2977459</v>
      </c>
      <c r="N12" s="26">
        <f t="shared" si="4"/>
        <v>3542267</v>
      </c>
      <c r="O12" s="35">
        <v>535648</v>
      </c>
      <c r="P12" s="35">
        <v>24920</v>
      </c>
      <c r="Q12" s="35">
        <v>2984516</v>
      </c>
      <c r="R12" s="35">
        <f t="shared" si="14"/>
        <v>3545084</v>
      </c>
      <c r="S12" s="68">
        <f t="shared" si="5"/>
        <v>-3449</v>
      </c>
      <c r="T12" s="68">
        <f t="shared" si="6"/>
        <v>-791</v>
      </c>
      <c r="U12" s="68">
        <f t="shared" si="7"/>
        <v>7057</v>
      </c>
      <c r="V12" s="26">
        <f t="shared" si="0"/>
        <v>2817</v>
      </c>
      <c r="W12" s="26">
        <f t="shared" si="8"/>
        <v>-7327</v>
      </c>
      <c r="X12" s="26">
        <f t="shared" si="9"/>
        <v>-1111</v>
      </c>
      <c r="Y12" s="26">
        <f t="shared" si="10"/>
        <v>11625</v>
      </c>
      <c r="Z12" s="26">
        <f t="shared" si="1"/>
        <v>3187</v>
      </c>
      <c r="AA12" s="119"/>
      <c r="AB12" s="309">
        <f t="shared" si="11"/>
        <v>-4.394444444444445</v>
      </c>
      <c r="AC12" s="309">
        <f t="shared" si="11"/>
        <v>3.6908995815899583</v>
      </c>
      <c r="AD12" s="310">
        <f t="shared" si="12"/>
        <v>-6.172222222222222</v>
      </c>
      <c r="AE12" s="310">
        <f t="shared" si="13"/>
        <v>6.080020920502092</v>
      </c>
      <c r="AF12" s="51"/>
      <c r="AG12" s="51"/>
      <c r="AH12" s="51"/>
      <c r="AI12" s="51"/>
      <c r="AR12" s="50" t="s">
        <v>4</v>
      </c>
    </row>
    <row r="13" spans="1:44" ht="24.75" customHeight="1">
      <c r="A13" s="27">
        <v>8</v>
      </c>
      <c r="B13" s="28" t="s">
        <v>67</v>
      </c>
      <c r="C13" s="33">
        <v>301845</v>
      </c>
      <c r="D13" s="33">
        <v>67783</v>
      </c>
      <c r="E13" s="33">
        <v>1609793</v>
      </c>
      <c r="F13" s="29">
        <f t="shared" si="2"/>
        <v>1979421</v>
      </c>
      <c r="G13" s="372">
        <v>1000</v>
      </c>
      <c r="H13" s="372">
        <v>11700</v>
      </c>
      <c r="I13" s="372">
        <v>131500</v>
      </c>
      <c r="J13" s="29">
        <f t="shared" si="3"/>
        <v>144200</v>
      </c>
      <c r="K13" s="33">
        <v>300272</v>
      </c>
      <c r="L13" s="33">
        <v>66612</v>
      </c>
      <c r="M13" s="33">
        <v>1383456</v>
      </c>
      <c r="N13" s="26">
        <f t="shared" si="4"/>
        <v>1750340</v>
      </c>
      <c r="O13" s="33">
        <v>298222</v>
      </c>
      <c r="P13" s="33">
        <v>66233</v>
      </c>
      <c r="Q13" s="33">
        <v>1396257</v>
      </c>
      <c r="R13" s="33">
        <f t="shared" si="14"/>
        <v>1760712</v>
      </c>
      <c r="S13" s="66">
        <f t="shared" si="5"/>
        <v>-2050</v>
      </c>
      <c r="T13" s="66">
        <f t="shared" si="6"/>
        <v>-379</v>
      </c>
      <c r="U13" s="66">
        <f t="shared" si="7"/>
        <v>12801</v>
      </c>
      <c r="V13" s="29">
        <f t="shared" si="0"/>
        <v>10372</v>
      </c>
      <c r="W13" s="29">
        <f t="shared" si="8"/>
        <v>-3623</v>
      </c>
      <c r="X13" s="29">
        <f t="shared" si="9"/>
        <v>-1550</v>
      </c>
      <c r="Y13" s="29">
        <f t="shared" si="10"/>
        <v>-213536</v>
      </c>
      <c r="Z13" s="29">
        <f t="shared" si="1"/>
        <v>-218709</v>
      </c>
      <c r="AA13" s="119"/>
      <c r="AB13" s="309">
        <f t="shared" si="11"/>
        <v>-3.2393162393162394</v>
      </c>
      <c r="AC13" s="309">
        <f t="shared" si="11"/>
        <v>9.734600760456273</v>
      </c>
      <c r="AD13" s="310">
        <f t="shared" si="12"/>
        <v>-13.247863247863249</v>
      </c>
      <c r="AE13" s="310">
        <f t="shared" si="13"/>
        <v>-162.3847908745247</v>
      </c>
      <c r="AF13" s="51"/>
      <c r="AG13" s="51"/>
      <c r="AH13" s="51"/>
      <c r="AI13" s="51"/>
      <c r="AR13" s="50" t="s">
        <v>4</v>
      </c>
    </row>
    <row r="14" spans="1:35" ht="24.75" customHeight="1">
      <c r="A14" s="30">
        <v>9</v>
      </c>
      <c r="B14" s="31" t="s">
        <v>33</v>
      </c>
      <c r="C14" s="34">
        <v>203969</v>
      </c>
      <c r="D14" s="34">
        <v>76531</v>
      </c>
      <c r="E14" s="34">
        <v>969904</v>
      </c>
      <c r="F14" s="32">
        <f t="shared" si="2"/>
        <v>1250404</v>
      </c>
      <c r="G14" s="373">
        <v>2500</v>
      </c>
      <c r="H14" s="373">
        <v>11700</v>
      </c>
      <c r="I14" s="373">
        <v>53400</v>
      </c>
      <c r="J14" s="32">
        <f t="shared" si="3"/>
        <v>67600</v>
      </c>
      <c r="K14" s="34">
        <v>203933</v>
      </c>
      <c r="L14" s="34">
        <v>77323</v>
      </c>
      <c r="M14" s="34">
        <v>991012</v>
      </c>
      <c r="N14" s="26">
        <f t="shared" si="4"/>
        <v>1272268</v>
      </c>
      <c r="O14" s="34">
        <v>203609</v>
      </c>
      <c r="P14" s="34">
        <v>76330</v>
      </c>
      <c r="Q14" s="34">
        <v>1012625</v>
      </c>
      <c r="R14" s="34">
        <f t="shared" si="14"/>
        <v>1292564</v>
      </c>
      <c r="S14" s="67">
        <f t="shared" si="5"/>
        <v>-324</v>
      </c>
      <c r="T14" s="67">
        <f t="shared" si="6"/>
        <v>-993</v>
      </c>
      <c r="U14" s="67">
        <f t="shared" si="7"/>
        <v>21613</v>
      </c>
      <c r="V14" s="32">
        <f t="shared" si="0"/>
        <v>20296</v>
      </c>
      <c r="W14" s="32">
        <f t="shared" si="8"/>
        <v>-360</v>
      </c>
      <c r="X14" s="32">
        <f t="shared" si="9"/>
        <v>-201</v>
      </c>
      <c r="Y14" s="32">
        <f t="shared" si="10"/>
        <v>42721</v>
      </c>
      <c r="Z14" s="32">
        <f t="shared" si="1"/>
        <v>42160</v>
      </c>
      <c r="AA14" s="119"/>
      <c r="AB14" s="309">
        <f t="shared" si="11"/>
        <v>-8.487179487179487</v>
      </c>
      <c r="AC14" s="309">
        <f t="shared" si="11"/>
        <v>40.47378277153558</v>
      </c>
      <c r="AD14" s="310">
        <f t="shared" si="12"/>
        <v>-1.7179487179487178</v>
      </c>
      <c r="AE14" s="310">
        <f t="shared" si="13"/>
        <v>80.00187265917603</v>
      </c>
      <c r="AF14" s="51"/>
      <c r="AG14" s="51"/>
      <c r="AH14" s="51"/>
      <c r="AI14" s="51"/>
    </row>
    <row r="15" spans="1:35" ht="24.75" customHeight="1">
      <c r="A15" s="24">
        <v>10</v>
      </c>
      <c r="B15" s="25" t="s">
        <v>6</v>
      </c>
      <c r="C15" s="320">
        <v>215387</v>
      </c>
      <c r="D15" s="320">
        <v>102726</v>
      </c>
      <c r="E15" s="320">
        <v>1600991</v>
      </c>
      <c r="F15" s="26">
        <f t="shared" si="2"/>
        <v>1919104</v>
      </c>
      <c r="G15" s="371">
        <v>600</v>
      </c>
      <c r="H15" s="371">
        <v>9000</v>
      </c>
      <c r="I15" s="371">
        <v>221200</v>
      </c>
      <c r="J15" s="26">
        <f t="shared" si="3"/>
        <v>230800</v>
      </c>
      <c r="K15" s="320">
        <v>190999</v>
      </c>
      <c r="L15" s="320">
        <v>102738</v>
      </c>
      <c r="M15" s="320">
        <v>1605920</v>
      </c>
      <c r="N15" s="26">
        <f t="shared" si="4"/>
        <v>1899657</v>
      </c>
      <c r="O15" s="320">
        <v>167642</v>
      </c>
      <c r="P15" s="320">
        <v>102726</v>
      </c>
      <c r="Q15" s="320">
        <v>1606736</v>
      </c>
      <c r="R15" s="35">
        <f t="shared" si="14"/>
        <v>1877104</v>
      </c>
      <c r="S15" s="68">
        <f t="shared" si="5"/>
        <v>-23357</v>
      </c>
      <c r="T15" s="68">
        <f t="shared" si="6"/>
        <v>-12</v>
      </c>
      <c r="U15" s="68">
        <f t="shared" si="7"/>
        <v>816</v>
      </c>
      <c r="V15" s="26">
        <f t="shared" si="0"/>
        <v>-22553</v>
      </c>
      <c r="W15" s="26">
        <f t="shared" si="8"/>
        <v>-47745</v>
      </c>
      <c r="X15" s="26">
        <f t="shared" si="9"/>
        <v>0</v>
      </c>
      <c r="Y15" s="26">
        <f t="shared" si="10"/>
        <v>5745</v>
      </c>
      <c r="Z15" s="26">
        <f t="shared" si="1"/>
        <v>-42000</v>
      </c>
      <c r="AA15" s="119"/>
      <c r="AB15" s="309">
        <f t="shared" si="11"/>
        <v>-0.13333333333333333</v>
      </c>
      <c r="AC15" s="309">
        <f t="shared" si="11"/>
        <v>0.3688969258589512</v>
      </c>
      <c r="AD15" s="310">
        <f t="shared" si="12"/>
        <v>0</v>
      </c>
      <c r="AE15" s="310">
        <f t="shared" si="13"/>
        <v>2.5971971066907775</v>
      </c>
      <c r="AF15" s="51"/>
      <c r="AG15" s="51"/>
      <c r="AH15" s="51"/>
      <c r="AI15" s="51"/>
    </row>
    <row r="16" spans="1:35" ht="24.75" customHeight="1">
      <c r="A16" s="27">
        <v>11</v>
      </c>
      <c r="B16" s="28" t="s">
        <v>126</v>
      </c>
      <c r="C16" s="33">
        <v>1963247</v>
      </c>
      <c r="D16" s="33">
        <v>361714</v>
      </c>
      <c r="E16" s="33">
        <v>6552974</v>
      </c>
      <c r="F16" s="29">
        <f t="shared" si="2"/>
        <v>8877935</v>
      </c>
      <c r="G16" s="372">
        <v>13000</v>
      </c>
      <c r="H16" s="372">
        <v>17100</v>
      </c>
      <c r="I16" s="372">
        <v>640000</v>
      </c>
      <c r="J16" s="29">
        <f t="shared" si="3"/>
        <v>670100</v>
      </c>
      <c r="K16" s="33">
        <v>1888965</v>
      </c>
      <c r="L16" s="33">
        <v>360791</v>
      </c>
      <c r="M16" s="33">
        <v>6620188</v>
      </c>
      <c r="N16" s="26">
        <f t="shared" si="4"/>
        <v>8869944</v>
      </c>
      <c r="O16" s="33">
        <v>1745544</v>
      </c>
      <c r="P16" s="33">
        <v>355196</v>
      </c>
      <c r="Q16" s="33">
        <v>6603545</v>
      </c>
      <c r="R16" s="33">
        <f t="shared" si="14"/>
        <v>8704285</v>
      </c>
      <c r="S16" s="66">
        <f t="shared" si="5"/>
        <v>-143421</v>
      </c>
      <c r="T16" s="66">
        <f t="shared" si="6"/>
        <v>-5595</v>
      </c>
      <c r="U16" s="66">
        <f t="shared" si="7"/>
        <v>-16643</v>
      </c>
      <c r="V16" s="29">
        <f t="shared" si="0"/>
        <v>-165659</v>
      </c>
      <c r="W16" s="29">
        <f t="shared" si="8"/>
        <v>-217703</v>
      </c>
      <c r="X16" s="29">
        <f t="shared" si="9"/>
        <v>-6518</v>
      </c>
      <c r="Y16" s="29">
        <f t="shared" si="10"/>
        <v>50571</v>
      </c>
      <c r="Z16" s="29">
        <f t="shared" si="1"/>
        <v>-173650</v>
      </c>
      <c r="AA16" s="119"/>
      <c r="AB16" s="309">
        <f t="shared" si="11"/>
        <v>-32.719298245614034</v>
      </c>
      <c r="AC16" s="309">
        <f t="shared" si="11"/>
        <v>-2.6004687499999997</v>
      </c>
      <c r="AD16" s="310">
        <f t="shared" si="12"/>
        <v>-38.11695906432749</v>
      </c>
      <c r="AE16" s="310">
        <f t="shared" si="13"/>
        <v>7.901718750000001</v>
      </c>
      <c r="AF16" s="51"/>
      <c r="AG16" s="51"/>
      <c r="AH16" s="51"/>
      <c r="AI16" s="51"/>
    </row>
    <row r="17" spans="1:35" ht="24.75" customHeight="1">
      <c r="A17" s="30">
        <v>12</v>
      </c>
      <c r="B17" s="31" t="s">
        <v>35</v>
      </c>
      <c r="C17" s="34">
        <v>3065384</v>
      </c>
      <c r="D17" s="34">
        <v>336779</v>
      </c>
      <c r="E17" s="34">
        <v>6775671</v>
      </c>
      <c r="F17" s="32">
        <f t="shared" si="2"/>
        <v>10177834</v>
      </c>
      <c r="G17" s="373">
        <v>18000</v>
      </c>
      <c r="H17" s="372">
        <v>55800</v>
      </c>
      <c r="I17" s="373">
        <v>583700</v>
      </c>
      <c r="J17" s="32">
        <f t="shared" si="3"/>
        <v>657500</v>
      </c>
      <c r="K17" s="34">
        <v>3059251</v>
      </c>
      <c r="L17" s="34">
        <v>332396</v>
      </c>
      <c r="M17" s="34">
        <v>6858644</v>
      </c>
      <c r="N17" s="26">
        <f t="shared" si="4"/>
        <v>10250291</v>
      </c>
      <c r="O17" s="34">
        <v>3050733</v>
      </c>
      <c r="P17" s="34">
        <v>327301</v>
      </c>
      <c r="Q17" s="34">
        <v>6935034</v>
      </c>
      <c r="R17" s="34">
        <f t="shared" si="14"/>
        <v>10313068</v>
      </c>
      <c r="S17" s="67">
        <f t="shared" si="5"/>
        <v>-8518</v>
      </c>
      <c r="T17" s="67">
        <f t="shared" si="6"/>
        <v>-5095</v>
      </c>
      <c r="U17" s="67">
        <f t="shared" si="7"/>
        <v>76390</v>
      </c>
      <c r="V17" s="32">
        <f t="shared" si="0"/>
        <v>62777</v>
      </c>
      <c r="W17" s="32">
        <f t="shared" si="8"/>
        <v>-14651</v>
      </c>
      <c r="X17" s="32">
        <f t="shared" si="9"/>
        <v>-9478</v>
      </c>
      <c r="Y17" s="32">
        <f t="shared" si="10"/>
        <v>159363</v>
      </c>
      <c r="Z17" s="32">
        <f t="shared" si="1"/>
        <v>135234</v>
      </c>
      <c r="AA17" s="119"/>
      <c r="AB17" s="309">
        <f t="shared" si="11"/>
        <v>-9.130824372759855</v>
      </c>
      <c r="AC17" s="309">
        <f t="shared" si="11"/>
        <v>13.087202329964024</v>
      </c>
      <c r="AD17" s="310">
        <f t="shared" si="12"/>
        <v>-16.985663082437277</v>
      </c>
      <c r="AE17" s="310">
        <f t="shared" si="13"/>
        <v>27.3022100394038</v>
      </c>
      <c r="AF17" s="51"/>
      <c r="AG17" s="51"/>
      <c r="AH17" s="51"/>
      <c r="AI17" s="51"/>
    </row>
    <row r="18" spans="1:35" ht="24.75" customHeight="1">
      <c r="A18" s="24">
        <v>13</v>
      </c>
      <c r="B18" s="25" t="s">
        <v>68</v>
      </c>
      <c r="C18" s="35">
        <v>703915</v>
      </c>
      <c r="D18" s="35">
        <v>151811</v>
      </c>
      <c r="E18" s="35">
        <v>3158815</v>
      </c>
      <c r="F18" s="26">
        <f t="shared" si="2"/>
        <v>4014541</v>
      </c>
      <c r="G18" s="371">
        <v>2000</v>
      </c>
      <c r="H18" s="371">
        <v>28800</v>
      </c>
      <c r="I18" s="371">
        <v>307500</v>
      </c>
      <c r="J18" s="26">
        <f t="shared" si="3"/>
        <v>338300</v>
      </c>
      <c r="K18" s="35">
        <v>700519</v>
      </c>
      <c r="L18" s="35">
        <v>153125</v>
      </c>
      <c r="M18" s="35">
        <v>3170452</v>
      </c>
      <c r="N18" s="26">
        <f t="shared" si="4"/>
        <v>4024096</v>
      </c>
      <c r="O18" s="35">
        <v>696163</v>
      </c>
      <c r="P18" s="35">
        <v>151950</v>
      </c>
      <c r="Q18" s="35">
        <v>3093868</v>
      </c>
      <c r="R18" s="35">
        <f t="shared" si="14"/>
        <v>3941981</v>
      </c>
      <c r="S18" s="68">
        <f t="shared" si="5"/>
        <v>-4356</v>
      </c>
      <c r="T18" s="68">
        <f t="shared" si="6"/>
        <v>-1175</v>
      </c>
      <c r="U18" s="68">
        <f>Q18-M18</f>
        <v>-76584</v>
      </c>
      <c r="V18" s="26">
        <f t="shared" si="0"/>
        <v>-82115</v>
      </c>
      <c r="W18" s="26">
        <f t="shared" si="8"/>
        <v>-7752</v>
      </c>
      <c r="X18" s="26">
        <f t="shared" si="9"/>
        <v>139</v>
      </c>
      <c r="Y18" s="26">
        <f t="shared" si="10"/>
        <v>-64947</v>
      </c>
      <c r="Z18" s="26">
        <f t="shared" si="1"/>
        <v>-72560</v>
      </c>
      <c r="AA18" s="119"/>
      <c r="AB18" s="309">
        <f t="shared" si="11"/>
        <v>-4.079861111111112</v>
      </c>
      <c r="AC18" s="309">
        <f t="shared" si="11"/>
        <v>-24.905365853658537</v>
      </c>
      <c r="AD18" s="310">
        <f t="shared" si="12"/>
        <v>0.4826388888888889</v>
      </c>
      <c r="AE18" s="310">
        <f t="shared" si="13"/>
        <v>-21.120975609756098</v>
      </c>
      <c r="AF18" s="51"/>
      <c r="AG18" s="51"/>
      <c r="AH18" s="51"/>
      <c r="AI18" s="51"/>
    </row>
    <row r="19" spans="1:35" ht="24.75" customHeight="1">
      <c r="A19" s="27">
        <v>14</v>
      </c>
      <c r="B19" s="28" t="s">
        <v>36</v>
      </c>
      <c r="C19" s="334">
        <v>2240187</v>
      </c>
      <c r="D19" s="335">
        <v>206044</v>
      </c>
      <c r="E19" s="336">
        <v>6020021</v>
      </c>
      <c r="F19" s="29">
        <f t="shared" si="2"/>
        <v>8466252</v>
      </c>
      <c r="G19" s="372">
        <v>16000</v>
      </c>
      <c r="H19" s="372">
        <v>60300</v>
      </c>
      <c r="I19" s="372">
        <v>579900</v>
      </c>
      <c r="J19" s="29">
        <f t="shared" si="3"/>
        <v>656200</v>
      </c>
      <c r="K19" s="334">
        <v>2233675</v>
      </c>
      <c r="L19" s="335">
        <v>201143</v>
      </c>
      <c r="M19" s="336">
        <v>5582084</v>
      </c>
      <c r="N19" s="26">
        <f t="shared" si="4"/>
        <v>8016902</v>
      </c>
      <c r="O19" s="334">
        <v>2225940</v>
      </c>
      <c r="P19" s="335">
        <v>196468</v>
      </c>
      <c r="Q19" s="336">
        <v>5760522</v>
      </c>
      <c r="R19" s="33">
        <f t="shared" si="14"/>
        <v>8182930</v>
      </c>
      <c r="S19" s="66">
        <f t="shared" si="5"/>
        <v>-7735</v>
      </c>
      <c r="T19" s="66">
        <f t="shared" si="6"/>
        <v>-4675</v>
      </c>
      <c r="U19" s="66">
        <f t="shared" si="7"/>
        <v>178438</v>
      </c>
      <c r="V19" s="29">
        <f t="shared" si="0"/>
        <v>166028</v>
      </c>
      <c r="W19" s="29">
        <f t="shared" si="8"/>
        <v>-14247</v>
      </c>
      <c r="X19" s="29">
        <f t="shared" si="9"/>
        <v>-9576</v>
      </c>
      <c r="Y19" s="29">
        <f t="shared" si="10"/>
        <v>-259499</v>
      </c>
      <c r="Z19" s="29">
        <f t="shared" si="1"/>
        <v>-283322</v>
      </c>
      <c r="AA19" s="119"/>
      <c r="AB19" s="309">
        <f t="shared" si="11"/>
        <v>-7.75290215588723</v>
      </c>
      <c r="AC19" s="309">
        <f t="shared" si="11"/>
        <v>30.770477668563544</v>
      </c>
      <c r="AD19" s="310">
        <f t="shared" si="12"/>
        <v>-15.880597014925375</v>
      </c>
      <c r="AE19" s="310">
        <f t="shared" si="13"/>
        <v>-44.74892222797034</v>
      </c>
      <c r="AF19" s="51"/>
      <c r="AG19" s="51"/>
      <c r="AH19" s="51"/>
      <c r="AI19" s="51"/>
    </row>
    <row r="20" spans="1:35" ht="24.75" customHeight="1">
      <c r="A20" s="30">
        <v>15</v>
      </c>
      <c r="B20" s="31" t="s">
        <v>13</v>
      </c>
      <c r="C20" s="34">
        <v>141010</v>
      </c>
      <c r="D20" s="34">
        <v>75808</v>
      </c>
      <c r="E20" s="34">
        <v>733026</v>
      </c>
      <c r="F20" s="32">
        <f t="shared" si="2"/>
        <v>949844</v>
      </c>
      <c r="G20" s="373">
        <v>500</v>
      </c>
      <c r="H20" s="372">
        <v>4500</v>
      </c>
      <c r="I20" s="373">
        <v>94000</v>
      </c>
      <c r="J20" s="32">
        <f>G20+H20+I20</f>
        <v>99000</v>
      </c>
      <c r="K20" s="34">
        <v>140710</v>
      </c>
      <c r="L20" s="34">
        <v>75912</v>
      </c>
      <c r="M20" s="34">
        <v>747579</v>
      </c>
      <c r="N20" s="35">
        <f t="shared" si="4"/>
        <v>964201</v>
      </c>
      <c r="O20" s="34">
        <v>140457</v>
      </c>
      <c r="P20" s="34">
        <v>76148</v>
      </c>
      <c r="Q20" s="34">
        <v>761301</v>
      </c>
      <c r="R20" s="34">
        <f t="shared" si="14"/>
        <v>977906</v>
      </c>
      <c r="S20" s="67">
        <f t="shared" si="5"/>
        <v>-253</v>
      </c>
      <c r="T20" s="67">
        <f t="shared" si="6"/>
        <v>236</v>
      </c>
      <c r="U20" s="67">
        <f t="shared" si="7"/>
        <v>13722</v>
      </c>
      <c r="V20" s="32">
        <f t="shared" si="0"/>
        <v>13705</v>
      </c>
      <c r="W20" s="32">
        <f t="shared" si="8"/>
        <v>-553</v>
      </c>
      <c r="X20" s="32">
        <f t="shared" si="9"/>
        <v>340</v>
      </c>
      <c r="Y20" s="32">
        <f t="shared" si="10"/>
        <v>28275</v>
      </c>
      <c r="Z20" s="32">
        <f t="shared" si="1"/>
        <v>28062</v>
      </c>
      <c r="AA20" s="119"/>
      <c r="AB20" s="309">
        <f t="shared" si="11"/>
        <v>5.2444444444444445</v>
      </c>
      <c r="AC20" s="309">
        <f t="shared" si="11"/>
        <v>14.597872340425532</v>
      </c>
      <c r="AD20" s="310">
        <f t="shared" si="12"/>
        <v>7.555555555555555</v>
      </c>
      <c r="AE20" s="310">
        <f t="shared" si="13"/>
        <v>30.079787234042556</v>
      </c>
      <c r="AF20" s="51"/>
      <c r="AG20" s="51"/>
      <c r="AH20" s="51"/>
      <c r="AI20" s="51"/>
    </row>
    <row r="21" spans="1:35" ht="24.75" customHeight="1">
      <c r="A21" s="27">
        <v>16</v>
      </c>
      <c r="B21" s="45" t="s">
        <v>12</v>
      </c>
      <c r="C21" s="35">
        <v>111119</v>
      </c>
      <c r="D21" s="35">
        <v>73600</v>
      </c>
      <c r="E21" s="35">
        <v>733914</v>
      </c>
      <c r="F21" s="26">
        <f t="shared" si="2"/>
        <v>918633</v>
      </c>
      <c r="G21" s="371">
        <v>500</v>
      </c>
      <c r="H21" s="371">
        <v>4500</v>
      </c>
      <c r="I21" s="371">
        <v>98300</v>
      </c>
      <c r="J21" s="26">
        <f t="shared" si="3"/>
        <v>103300</v>
      </c>
      <c r="K21" s="35">
        <v>111249</v>
      </c>
      <c r="L21" s="35">
        <v>74016</v>
      </c>
      <c r="M21" s="35">
        <v>742159</v>
      </c>
      <c r="N21" s="26">
        <f t="shared" si="4"/>
        <v>927424</v>
      </c>
      <c r="O21" s="35">
        <v>111341</v>
      </c>
      <c r="P21" s="35">
        <v>74555</v>
      </c>
      <c r="Q21" s="35">
        <v>745811</v>
      </c>
      <c r="R21" s="35">
        <f t="shared" si="14"/>
        <v>931707</v>
      </c>
      <c r="S21" s="68">
        <f t="shared" si="5"/>
        <v>92</v>
      </c>
      <c r="T21" s="68">
        <f t="shared" si="6"/>
        <v>539</v>
      </c>
      <c r="U21" s="66">
        <f t="shared" si="7"/>
        <v>3652</v>
      </c>
      <c r="V21" s="26">
        <f t="shared" si="0"/>
        <v>4283</v>
      </c>
      <c r="W21" s="26">
        <f t="shared" si="8"/>
        <v>222</v>
      </c>
      <c r="X21" s="26">
        <f t="shared" si="9"/>
        <v>955</v>
      </c>
      <c r="Y21" s="26">
        <f t="shared" si="10"/>
        <v>11897</v>
      </c>
      <c r="Z21" s="26">
        <f t="shared" si="1"/>
        <v>13074</v>
      </c>
      <c r="AA21" s="119"/>
      <c r="AB21" s="309">
        <f t="shared" si="11"/>
        <v>11.977777777777778</v>
      </c>
      <c r="AC21" s="309">
        <f t="shared" si="11"/>
        <v>3.7151576805696847</v>
      </c>
      <c r="AD21" s="312">
        <f t="shared" si="12"/>
        <v>21.22222222222222</v>
      </c>
      <c r="AE21" s="310">
        <f t="shared" si="13"/>
        <v>12.102746693794506</v>
      </c>
      <c r="AF21" s="51"/>
      <c r="AG21" s="51"/>
      <c r="AH21" s="51"/>
      <c r="AI21" s="51"/>
    </row>
    <row r="22" spans="1:35" ht="24.75" customHeight="1">
      <c r="A22" s="27">
        <v>17</v>
      </c>
      <c r="B22" s="28" t="s">
        <v>69</v>
      </c>
      <c r="C22" s="33">
        <v>451480</v>
      </c>
      <c r="D22" s="33">
        <v>130341</v>
      </c>
      <c r="E22" s="33">
        <v>4314273</v>
      </c>
      <c r="F22" s="29">
        <f t="shared" si="2"/>
        <v>4896094</v>
      </c>
      <c r="G22" s="372">
        <v>1000</v>
      </c>
      <c r="H22" s="372">
        <v>11700</v>
      </c>
      <c r="I22" s="372">
        <v>617200</v>
      </c>
      <c r="J22" s="29">
        <f t="shared" si="3"/>
        <v>629900</v>
      </c>
      <c r="K22" s="33">
        <v>398659</v>
      </c>
      <c r="L22" s="33">
        <v>130552</v>
      </c>
      <c r="M22" s="33">
        <v>4325710</v>
      </c>
      <c r="N22" s="26">
        <f>K22+L22+M22</f>
        <v>4854921</v>
      </c>
      <c r="O22" s="33">
        <v>384660</v>
      </c>
      <c r="P22" s="33">
        <v>130656</v>
      </c>
      <c r="Q22" s="33">
        <v>4329941</v>
      </c>
      <c r="R22" s="33">
        <f t="shared" si="14"/>
        <v>4845257</v>
      </c>
      <c r="S22" s="66">
        <f t="shared" si="5"/>
        <v>-13999</v>
      </c>
      <c r="T22" s="66">
        <f t="shared" si="6"/>
        <v>104</v>
      </c>
      <c r="U22" s="66">
        <f t="shared" si="7"/>
        <v>4231</v>
      </c>
      <c r="V22" s="29">
        <f t="shared" si="0"/>
        <v>-9664</v>
      </c>
      <c r="W22" s="29">
        <f t="shared" si="8"/>
        <v>-66820</v>
      </c>
      <c r="X22" s="29">
        <f t="shared" si="9"/>
        <v>315</v>
      </c>
      <c r="Y22" s="29">
        <f t="shared" si="10"/>
        <v>15668</v>
      </c>
      <c r="Z22" s="29">
        <f t="shared" si="1"/>
        <v>-50837</v>
      </c>
      <c r="AA22" s="119"/>
      <c r="AB22" s="309">
        <f t="shared" si="11"/>
        <v>0.8888888888888888</v>
      </c>
      <c r="AC22" s="309">
        <f t="shared" si="11"/>
        <v>0.6855152300712897</v>
      </c>
      <c r="AD22" s="310">
        <f t="shared" si="12"/>
        <v>2.6923076923076925</v>
      </c>
      <c r="AE22" s="310">
        <f t="shared" si="13"/>
        <v>2.5385612443292285</v>
      </c>
      <c r="AF22" s="51"/>
      <c r="AG22" s="51"/>
      <c r="AH22" s="51"/>
      <c r="AI22" s="51"/>
    </row>
    <row r="23" spans="1:35" ht="24.75" customHeight="1">
      <c r="A23" s="30">
        <v>18</v>
      </c>
      <c r="B23" s="31" t="s">
        <v>37</v>
      </c>
      <c r="C23" s="34">
        <v>1089917</v>
      </c>
      <c r="D23" s="34">
        <v>57261</v>
      </c>
      <c r="E23" s="321">
        <v>4630076</v>
      </c>
      <c r="F23" s="32">
        <f t="shared" si="2"/>
        <v>5777254</v>
      </c>
      <c r="G23" s="373">
        <v>2500</v>
      </c>
      <c r="H23" s="373">
        <v>20700</v>
      </c>
      <c r="I23" s="373">
        <v>410400</v>
      </c>
      <c r="J23" s="32">
        <f t="shared" si="3"/>
        <v>433600</v>
      </c>
      <c r="K23" s="34">
        <v>1086679</v>
      </c>
      <c r="L23" s="34">
        <v>55847</v>
      </c>
      <c r="M23" s="321">
        <v>4601743</v>
      </c>
      <c r="N23" s="26">
        <f t="shared" si="4"/>
        <v>5744269</v>
      </c>
      <c r="O23" s="34">
        <v>1084402</v>
      </c>
      <c r="P23" s="34">
        <v>55491</v>
      </c>
      <c r="Q23" s="321">
        <v>4261877</v>
      </c>
      <c r="R23" s="34">
        <f t="shared" si="14"/>
        <v>5401770</v>
      </c>
      <c r="S23" s="67">
        <f t="shared" si="5"/>
        <v>-2277</v>
      </c>
      <c r="T23" s="66">
        <f t="shared" si="6"/>
        <v>-356</v>
      </c>
      <c r="U23" s="67">
        <f t="shared" si="7"/>
        <v>-339866</v>
      </c>
      <c r="V23" s="32">
        <f t="shared" si="0"/>
        <v>-342499</v>
      </c>
      <c r="W23" s="32">
        <f t="shared" si="8"/>
        <v>-5515</v>
      </c>
      <c r="X23" s="32">
        <f t="shared" si="9"/>
        <v>-1770</v>
      </c>
      <c r="Y23" s="32">
        <f t="shared" si="10"/>
        <v>-368199</v>
      </c>
      <c r="Z23" s="32">
        <f t="shared" si="1"/>
        <v>-375484</v>
      </c>
      <c r="AA23" s="119"/>
      <c r="AB23" s="309">
        <f t="shared" si="11"/>
        <v>-1.7198067632850242</v>
      </c>
      <c r="AC23" s="309">
        <f t="shared" si="11"/>
        <v>-82.81335282651072</v>
      </c>
      <c r="AD23" s="310">
        <f t="shared" si="12"/>
        <v>-8.550724637681158</v>
      </c>
      <c r="AE23" s="310">
        <f t="shared" si="13"/>
        <v>-89.71710526315789</v>
      </c>
      <c r="AF23" s="51"/>
      <c r="AG23" s="51"/>
      <c r="AH23" s="51"/>
      <c r="AI23" s="51"/>
    </row>
    <row r="24" spans="1:35" ht="24.75" customHeight="1">
      <c r="A24" s="24">
        <v>19</v>
      </c>
      <c r="B24" s="25" t="s">
        <v>70</v>
      </c>
      <c r="C24" s="35">
        <v>1046625</v>
      </c>
      <c r="D24" s="35">
        <v>207161</v>
      </c>
      <c r="E24" s="35">
        <v>5444689</v>
      </c>
      <c r="F24" s="26">
        <f t="shared" si="2"/>
        <v>6698475</v>
      </c>
      <c r="G24" s="371">
        <v>2500</v>
      </c>
      <c r="H24" s="371">
        <v>33300</v>
      </c>
      <c r="I24" s="371">
        <v>563300</v>
      </c>
      <c r="J24" s="26">
        <f t="shared" si="3"/>
        <v>599100</v>
      </c>
      <c r="K24" s="35">
        <v>1039054</v>
      </c>
      <c r="L24" s="35">
        <v>197008</v>
      </c>
      <c r="M24" s="35">
        <v>5476700</v>
      </c>
      <c r="N24" s="26">
        <f t="shared" si="4"/>
        <v>6712762</v>
      </c>
      <c r="O24" s="35">
        <v>1024683</v>
      </c>
      <c r="P24" s="35">
        <v>195960</v>
      </c>
      <c r="Q24" s="35">
        <v>5470048</v>
      </c>
      <c r="R24" s="35">
        <f>O24+P24+Q24</f>
        <v>6690691</v>
      </c>
      <c r="S24" s="68">
        <f t="shared" si="5"/>
        <v>-14371</v>
      </c>
      <c r="T24" s="68">
        <f t="shared" si="6"/>
        <v>-1048</v>
      </c>
      <c r="U24" s="68">
        <f t="shared" si="7"/>
        <v>-6652</v>
      </c>
      <c r="V24" s="26">
        <f t="shared" si="0"/>
        <v>-22071</v>
      </c>
      <c r="W24" s="26">
        <f t="shared" si="8"/>
        <v>-21942</v>
      </c>
      <c r="X24" s="26">
        <f t="shared" si="9"/>
        <v>-11201</v>
      </c>
      <c r="Y24" s="26">
        <f t="shared" si="10"/>
        <v>25359</v>
      </c>
      <c r="Z24" s="26">
        <f t="shared" si="1"/>
        <v>-7784</v>
      </c>
      <c r="AA24" s="119"/>
      <c r="AB24" s="309">
        <f t="shared" si="11"/>
        <v>-3.1471471471471473</v>
      </c>
      <c r="AC24" s="309">
        <f t="shared" si="11"/>
        <v>-1.1808982780046158</v>
      </c>
      <c r="AD24" s="310">
        <f t="shared" si="12"/>
        <v>-33.63663663663664</v>
      </c>
      <c r="AE24" s="310">
        <f t="shared" si="13"/>
        <v>4.5018640156222265</v>
      </c>
      <c r="AF24" s="51"/>
      <c r="AG24" s="51"/>
      <c r="AH24" s="51"/>
      <c r="AI24" s="51"/>
    </row>
    <row r="25" spans="1:35" ht="24.75" customHeight="1">
      <c r="A25" s="27">
        <v>20</v>
      </c>
      <c r="B25" s="28" t="s">
        <v>71</v>
      </c>
      <c r="C25" s="33">
        <v>1665407</v>
      </c>
      <c r="D25" s="33">
        <v>417327</v>
      </c>
      <c r="E25" s="33">
        <v>7624774</v>
      </c>
      <c r="F25" s="29">
        <f t="shared" si="2"/>
        <v>9707508</v>
      </c>
      <c r="G25" s="372">
        <v>7000</v>
      </c>
      <c r="H25" s="372">
        <v>17100</v>
      </c>
      <c r="I25" s="372">
        <v>737300</v>
      </c>
      <c r="J25" s="29">
        <f t="shared" si="3"/>
        <v>761400</v>
      </c>
      <c r="K25" s="33">
        <v>1653495</v>
      </c>
      <c r="L25" s="33">
        <v>237830</v>
      </c>
      <c r="M25" s="33">
        <v>7636227</v>
      </c>
      <c r="N25" s="26">
        <f t="shared" si="4"/>
        <v>9527552</v>
      </c>
      <c r="O25" s="33">
        <v>1641815</v>
      </c>
      <c r="P25" s="33">
        <v>233047</v>
      </c>
      <c r="Q25" s="33">
        <v>7650133</v>
      </c>
      <c r="R25" s="33">
        <f>O25+P25+Q25</f>
        <v>9524995</v>
      </c>
      <c r="S25" s="66">
        <f>O25-K25</f>
        <v>-11680</v>
      </c>
      <c r="T25" s="66">
        <f t="shared" si="6"/>
        <v>-4783</v>
      </c>
      <c r="U25" s="66">
        <f t="shared" si="7"/>
        <v>13906</v>
      </c>
      <c r="V25" s="29">
        <f t="shared" si="0"/>
        <v>-2557</v>
      </c>
      <c r="W25" s="29">
        <f>O25-C25</f>
        <v>-23592</v>
      </c>
      <c r="X25" s="29">
        <f>P25-D25</f>
        <v>-184280</v>
      </c>
      <c r="Y25" s="29">
        <f t="shared" si="10"/>
        <v>25359</v>
      </c>
      <c r="Z25" s="29">
        <f t="shared" si="1"/>
        <v>-182513</v>
      </c>
      <c r="AA25" s="119"/>
      <c r="AB25" s="309">
        <f t="shared" si="11"/>
        <v>-27.970760233918128</v>
      </c>
      <c r="AC25" s="309">
        <f t="shared" si="11"/>
        <v>1.886070798860708</v>
      </c>
      <c r="AD25" s="310">
        <f t="shared" si="12"/>
        <v>-1077.6608187134502</v>
      </c>
      <c r="AE25" s="310">
        <f t="shared" si="13"/>
        <v>3.439441204394412</v>
      </c>
      <c r="AF25" s="51"/>
      <c r="AG25" s="51"/>
      <c r="AH25" s="51"/>
      <c r="AI25" s="51"/>
    </row>
    <row r="26" spans="1:35" ht="24.75" customHeight="1">
      <c r="A26" s="30">
        <v>21</v>
      </c>
      <c r="B26" s="31" t="s">
        <v>72</v>
      </c>
      <c r="C26" s="34">
        <v>220416</v>
      </c>
      <c r="D26" s="34">
        <v>58335</v>
      </c>
      <c r="E26" s="34">
        <v>1360674</v>
      </c>
      <c r="F26" s="32">
        <f t="shared" si="2"/>
        <v>1639425</v>
      </c>
      <c r="G26" s="373">
        <v>500</v>
      </c>
      <c r="H26" s="373">
        <v>9900</v>
      </c>
      <c r="I26" s="373">
        <v>183600</v>
      </c>
      <c r="J26" s="32">
        <f t="shared" si="3"/>
        <v>194000</v>
      </c>
      <c r="K26" s="34">
        <v>218976</v>
      </c>
      <c r="L26" s="34">
        <v>55410</v>
      </c>
      <c r="M26" s="34">
        <v>1369682</v>
      </c>
      <c r="N26" s="26">
        <f t="shared" si="4"/>
        <v>1644068</v>
      </c>
      <c r="O26" s="34">
        <v>216993</v>
      </c>
      <c r="P26" s="34">
        <v>54233</v>
      </c>
      <c r="Q26" s="34">
        <v>1365530</v>
      </c>
      <c r="R26" s="34">
        <f t="shared" si="14"/>
        <v>1636756</v>
      </c>
      <c r="S26" s="67">
        <f t="shared" si="5"/>
        <v>-1983</v>
      </c>
      <c r="T26" s="66">
        <f t="shared" si="6"/>
        <v>-1177</v>
      </c>
      <c r="U26" s="67">
        <f t="shared" si="7"/>
        <v>-4152</v>
      </c>
      <c r="V26" s="32">
        <f t="shared" si="0"/>
        <v>-7312</v>
      </c>
      <c r="W26" s="32">
        <f t="shared" si="8"/>
        <v>-3423</v>
      </c>
      <c r="X26" s="32">
        <f t="shared" si="9"/>
        <v>-4102</v>
      </c>
      <c r="Y26" s="32">
        <f t="shared" si="10"/>
        <v>4856</v>
      </c>
      <c r="Z26" s="32">
        <f t="shared" si="1"/>
        <v>-2669</v>
      </c>
      <c r="AA26" s="119"/>
      <c r="AB26" s="309">
        <f t="shared" si="11"/>
        <v>-11.88888888888889</v>
      </c>
      <c r="AC26" s="309">
        <f t="shared" si="11"/>
        <v>-2.261437908496732</v>
      </c>
      <c r="AD26" s="310">
        <f t="shared" si="12"/>
        <v>-41.43434343434343</v>
      </c>
      <c r="AE26" s="310">
        <f t="shared" si="13"/>
        <v>2.6448801742919392</v>
      </c>
      <c r="AF26" s="51"/>
      <c r="AG26" s="51"/>
      <c r="AH26" s="51"/>
      <c r="AI26" s="51"/>
    </row>
    <row r="27" spans="1:35" ht="24.75" customHeight="1">
      <c r="A27" s="24">
        <v>22</v>
      </c>
      <c r="B27" s="25" t="s">
        <v>7</v>
      </c>
      <c r="C27" s="35">
        <v>1167606</v>
      </c>
      <c r="D27" s="35">
        <v>449328</v>
      </c>
      <c r="E27" s="35">
        <v>9667435</v>
      </c>
      <c r="F27" s="26">
        <f t="shared" si="2"/>
        <v>11284369</v>
      </c>
      <c r="G27" s="371">
        <v>3000</v>
      </c>
      <c r="H27" s="371">
        <v>22500</v>
      </c>
      <c r="I27" s="371">
        <v>1286400</v>
      </c>
      <c r="J27" s="26">
        <f t="shared" si="3"/>
        <v>1311900</v>
      </c>
      <c r="K27" s="35">
        <v>1146544</v>
      </c>
      <c r="L27" s="35">
        <v>442536</v>
      </c>
      <c r="M27" s="35">
        <v>9617566</v>
      </c>
      <c r="N27" s="35">
        <f t="shared" si="4"/>
        <v>11206646</v>
      </c>
      <c r="O27" s="35">
        <v>1099707</v>
      </c>
      <c r="P27" s="35">
        <v>439238</v>
      </c>
      <c r="Q27" s="35">
        <v>9616888</v>
      </c>
      <c r="R27" s="35">
        <f t="shared" si="14"/>
        <v>11155833</v>
      </c>
      <c r="S27" s="68">
        <f t="shared" si="5"/>
        <v>-46837</v>
      </c>
      <c r="T27" s="68">
        <f t="shared" si="6"/>
        <v>-3298</v>
      </c>
      <c r="U27" s="68">
        <f t="shared" si="7"/>
        <v>-678</v>
      </c>
      <c r="V27" s="26">
        <f t="shared" si="0"/>
        <v>-50813</v>
      </c>
      <c r="W27" s="26">
        <f t="shared" si="8"/>
        <v>-67899</v>
      </c>
      <c r="X27" s="26">
        <f t="shared" si="9"/>
        <v>-10090</v>
      </c>
      <c r="Y27" s="26">
        <f t="shared" si="10"/>
        <v>-50547</v>
      </c>
      <c r="Z27" s="26">
        <f t="shared" si="1"/>
        <v>-128536</v>
      </c>
      <c r="AA27" s="119"/>
      <c r="AB27" s="309">
        <f t="shared" si="11"/>
        <v>-14.657777777777778</v>
      </c>
      <c r="AC27" s="309">
        <f t="shared" si="11"/>
        <v>-0.05270522388059702</v>
      </c>
      <c r="AD27" s="312">
        <f t="shared" si="12"/>
        <v>-44.84444444444444</v>
      </c>
      <c r="AE27" s="310">
        <f t="shared" si="13"/>
        <v>-3.9293376865671643</v>
      </c>
      <c r="AF27" s="51"/>
      <c r="AG27" s="51"/>
      <c r="AH27" s="51"/>
      <c r="AI27" s="51"/>
    </row>
    <row r="28" spans="1:35" ht="24.75" customHeight="1">
      <c r="A28" s="27">
        <v>23</v>
      </c>
      <c r="B28" s="28" t="s">
        <v>8</v>
      </c>
      <c r="C28" s="322">
        <v>538940</v>
      </c>
      <c r="D28" s="322">
        <v>96981</v>
      </c>
      <c r="E28" s="33">
        <v>3284147</v>
      </c>
      <c r="F28" s="29">
        <f t="shared" si="2"/>
        <v>3920068</v>
      </c>
      <c r="G28" s="372">
        <v>3000</v>
      </c>
      <c r="H28" s="372">
        <v>12600</v>
      </c>
      <c r="I28" s="372">
        <v>441600</v>
      </c>
      <c r="J28" s="29">
        <f t="shared" si="3"/>
        <v>457200</v>
      </c>
      <c r="K28" s="322">
        <v>537087</v>
      </c>
      <c r="L28" s="322">
        <v>97004</v>
      </c>
      <c r="M28" s="33">
        <v>3320265</v>
      </c>
      <c r="N28" s="26">
        <f t="shared" si="4"/>
        <v>3954356</v>
      </c>
      <c r="O28" s="322">
        <v>536136</v>
      </c>
      <c r="P28" s="322">
        <v>95936</v>
      </c>
      <c r="Q28" s="33">
        <v>3347850</v>
      </c>
      <c r="R28" s="33">
        <f t="shared" si="14"/>
        <v>3979922</v>
      </c>
      <c r="S28" s="66">
        <f>O28-K28</f>
        <v>-951</v>
      </c>
      <c r="T28" s="66">
        <f t="shared" si="6"/>
        <v>-1068</v>
      </c>
      <c r="U28" s="66">
        <f t="shared" si="7"/>
        <v>27585</v>
      </c>
      <c r="V28" s="29">
        <f t="shared" si="0"/>
        <v>25566</v>
      </c>
      <c r="W28" s="29">
        <f t="shared" si="8"/>
        <v>-2804</v>
      </c>
      <c r="X28" s="29">
        <f t="shared" si="9"/>
        <v>-1045</v>
      </c>
      <c r="Y28" s="29">
        <f t="shared" si="10"/>
        <v>63703</v>
      </c>
      <c r="Z28" s="29">
        <f t="shared" si="1"/>
        <v>59854</v>
      </c>
      <c r="AA28" s="119"/>
      <c r="AB28" s="309">
        <f t="shared" si="11"/>
        <v>-8.476190476190476</v>
      </c>
      <c r="AC28" s="309">
        <f t="shared" si="11"/>
        <v>6.246603260869565</v>
      </c>
      <c r="AD28" s="310">
        <f t="shared" si="12"/>
        <v>-8.293650793650793</v>
      </c>
      <c r="AE28" s="310">
        <f t="shared" si="13"/>
        <v>14.425498188405797</v>
      </c>
      <c r="AF28" s="51"/>
      <c r="AG28" s="51"/>
      <c r="AH28" s="51"/>
      <c r="AI28" s="51"/>
    </row>
    <row r="29" spans="1:35" ht="24.75" customHeight="1">
      <c r="A29" s="30">
        <v>24</v>
      </c>
      <c r="B29" s="31" t="s">
        <v>40</v>
      </c>
      <c r="C29" s="34">
        <v>656505</v>
      </c>
      <c r="D29" s="34">
        <v>73593</v>
      </c>
      <c r="E29" s="34">
        <v>3331808</v>
      </c>
      <c r="F29" s="32">
        <f t="shared" si="2"/>
        <v>4061906</v>
      </c>
      <c r="G29" s="373">
        <v>2500</v>
      </c>
      <c r="H29" s="372">
        <v>13500</v>
      </c>
      <c r="I29" s="373">
        <v>426000</v>
      </c>
      <c r="J29" s="32">
        <f t="shared" si="3"/>
        <v>442000</v>
      </c>
      <c r="K29" s="34">
        <v>626292</v>
      </c>
      <c r="L29" s="34">
        <v>83971</v>
      </c>
      <c r="M29" s="34">
        <v>3353314</v>
      </c>
      <c r="N29" s="26">
        <f t="shared" si="4"/>
        <v>4063577</v>
      </c>
      <c r="O29" s="34">
        <v>600374</v>
      </c>
      <c r="P29" s="34">
        <v>84265</v>
      </c>
      <c r="Q29" s="34">
        <v>3355948</v>
      </c>
      <c r="R29" s="34">
        <f t="shared" si="14"/>
        <v>4040587</v>
      </c>
      <c r="S29" s="67">
        <f t="shared" si="5"/>
        <v>-25918</v>
      </c>
      <c r="T29" s="66">
        <f t="shared" si="6"/>
        <v>294</v>
      </c>
      <c r="U29" s="67">
        <f t="shared" si="7"/>
        <v>2634</v>
      </c>
      <c r="V29" s="32">
        <f t="shared" si="0"/>
        <v>-22990</v>
      </c>
      <c r="W29" s="32">
        <f t="shared" si="8"/>
        <v>-56131</v>
      </c>
      <c r="X29" s="32">
        <f t="shared" si="9"/>
        <v>10672</v>
      </c>
      <c r="Y29" s="32">
        <f t="shared" si="10"/>
        <v>24140</v>
      </c>
      <c r="Z29" s="32">
        <f t="shared" si="1"/>
        <v>-21319</v>
      </c>
      <c r="AA29" s="119"/>
      <c r="AB29" s="309">
        <f t="shared" si="11"/>
        <v>2.1777777777777776</v>
      </c>
      <c r="AC29" s="309">
        <f t="shared" si="11"/>
        <v>0.6183098591549295</v>
      </c>
      <c r="AD29" s="310">
        <f t="shared" si="12"/>
        <v>79.05185185185185</v>
      </c>
      <c r="AE29" s="310">
        <f t="shared" si="13"/>
        <v>5.666666666666666</v>
      </c>
      <c r="AF29" s="51"/>
      <c r="AG29" s="51"/>
      <c r="AH29" s="51"/>
      <c r="AI29" s="51"/>
    </row>
    <row r="30" spans="1:35" ht="24.75" customHeight="1">
      <c r="A30" s="24">
        <v>25</v>
      </c>
      <c r="B30" s="25" t="s">
        <v>9</v>
      </c>
      <c r="C30" s="35">
        <v>975123</v>
      </c>
      <c r="D30" s="35">
        <v>36660</v>
      </c>
      <c r="E30" s="35">
        <v>2389618</v>
      </c>
      <c r="F30" s="26">
        <f t="shared" si="2"/>
        <v>3401401</v>
      </c>
      <c r="G30" s="371">
        <v>3000</v>
      </c>
      <c r="H30" s="371">
        <v>10800</v>
      </c>
      <c r="I30" s="371">
        <v>138800</v>
      </c>
      <c r="J30" s="26">
        <f t="shared" si="3"/>
        <v>152600</v>
      </c>
      <c r="K30" s="35">
        <v>964238</v>
      </c>
      <c r="L30" s="35">
        <v>36629</v>
      </c>
      <c r="M30" s="35">
        <v>2369139</v>
      </c>
      <c r="N30" s="26">
        <f t="shared" si="4"/>
        <v>3370006</v>
      </c>
      <c r="O30" s="35">
        <v>967349</v>
      </c>
      <c r="P30" s="35">
        <v>36479</v>
      </c>
      <c r="Q30" s="35">
        <v>2379604</v>
      </c>
      <c r="R30" s="35">
        <f t="shared" si="14"/>
        <v>3383432</v>
      </c>
      <c r="S30" s="68">
        <f t="shared" si="5"/>
        <v>3111</v>
      </c>
      <c r="T30" s="68">
        <f t="shared" si="6"/>
        <v>-150</v>
      </c>
      <c r="U30" s="68">
        <f t="shared" si="7"/>
        <v>10465</v>
      </c>
      <c r="V30" s="26">
        <f t="shared" si="0"/>
        <v>13426</v>
      </c>
      <c r="W30" s="26">
        <f t="shared" si="8"/>
        <v>-7774</v>
      </c>
      <c r="X30" s="26">
        <f t="shared" si="9"/>
        <v>-181</v>
      </c>
      <c r="Y30" s="26">
        <f t="shared" si="10"/>
        <v>-10014</v>
      </c>
      <c r="Z30" s="26">
        <f t="shared" si="1"/>
        <v>-17969</v>
      </c>
      <c r="AA30" s="119"/>
      <c r="AB30" s="309">
        <f t="shared" si="11"/>
        <v>-1.3888888888888888</v>
      </c>
      <c r="AC30" s="309">
        <f t="shared" si="11"/>
        <v>7.539625360230548</v>
      </c>
      <c r="AD30" s="310">
        <f t="shared" si="12"/>
        <v>-1.6759259259259258</v>
      </c>
      <c r="AE30" s="310">
        <f t="shared" si="13"/>
        <v>-7.214697406340058</v>
      </c>
      <c r="AF30" s="51"/>
      <c r="AG30" s="51"/>
      <c r="AH30" s="51"/>
      <c r="AI30" s="51"/>
    </row>
    <row r="31" spans="1:35" ht="24.75" customHeight="1">
      <c r="A31" s="30">
        <v>26</v>
      </c>
      <c r="B31" s="31" t="s">
        <v>10</v>
      </c>
      <c r="C31" s="33">
        <v>827945</v>
      </c>
      <c r="D31" s="33">
        <v>21981</v>
      </c>
      <c r="E31" s="33">
        <v>1658232</v>
      </c>
      <c r="F31" s="29">
        <f t="shared" si="2"/>
        <v>2508158</v>
      </c>
      <c r="G31" s="372">
        <v>2000</v>
      </c>
      <c r="H31" s="373">
        <v>7200</v>
      </c>
      <c r="I31" s="372">
        <v>116800</v>
      </c>
      <c r="J31" s="32">
        <f>G31+H31+I31</f>
        <v>126000</v>
      </c>
      <c r="K31" s="33">
        <v>827011</v>
      </c>
      <c r="L31" s="33">
        <v>21371</v>
      </c>
      <c r="M31" s="33">
        <v>1661362</v>
      </c>
      <c r="N31" s="26">
        <f t="shared" si="4"/>
        <v>2509744</v>
      </c>
      <c r="O31" s="33">
        <v>822429</v>
      </c>
      <c r="P31" s="33">
        <v>20888</v>
      </c>
      <c r="Q31" s="33">
        <v>1664971</v>
      </c>
      <c r="R31" s="33">
        <f t="shared" si="14"/>
        <v>2508288</v>
      </c>
      <c r="S31" s="66">
        <f t="shared" si="5"/>
        <v>-4582</v>
      </c>
      <c r="T31" s="66">
        <f t="shared" si="6"/>
        <v>-483</v>
      </c>
      <c r="U31" s="66">
        <f t="shared" si="7"/>
        <v>3609</v>
      </c>
      <c r="V31" s="29">
        <f t="shared" si="0"/>
        <v>-1456</v>
      </c>
      <c r="W31" s="29">
        <f t="shared" si="8"/>
        <v>-5516</v>
      </c>
      <c r="X31" s="29">
        <f t="shared" si="9"/>
        <v>-1093</v>
      </c>
      <c r="Y31" s="29">
        <f t="shared" si="10"/>
        <v>6739</v>
      </c>
      <c r="Z31" s="29">
        <f t="shared" si="1"/>
        <v>130</v>
      </c>
      <c r="AA31" s="119"/>
      <c r="AB31" s="309">
        <f t="shared" si="11"/>
        <v>-6.708333333333333</v>
      </c>
      <c r="AC31" s="309">
        <f>U31/I31*100</f>
        <v>3.0898972602739727</v>
      </c>
      <c r="AD31" s="310">
        <f t="shared" si="12"/>
        <v>-15.180555555555555</v>
      </c>
      <c r="AE31" s="310">
        <f>Y31/I31*100</f>
        <v>5.769691780821918</v>
      </c>
      <c r="AF31" s="51"/>
      <c r="AG31" s="51"/>
      <c r="AH31" s="51"/>
      <c r="AI31" s="51"/>
    </row>
    <row r="32" spans="1:35" ht="24.75" customHeight="1">
      <c r="A32" s="212"/>
      <c r="B32" s="212" t="s">
        <v>11</v>
      </c>
      <c r="C32" s="286">
        <f aca="true" t="shared" si="15" ref="C32:Z32">SUM(C6:C31)</f>
        <v>22467732</v>
      </c>
      <c r="D32" s="286">
        <f t="shared" si="15"/>
        <v>4003914</v>
      </c>
      <c r="E32" s="286">
        <f t="shared" si="15"/>
        <v>94509074</v>
      </c>
      <c r="F32" s="286">
        <f t="shared" si="15"/>
        <v>120980720</v>
      </c>
      <c r="G32" s="286">
        <f t="shared" si="15"/>
        <v>106200</v>
      </c>
      <c r="H32" s="286">
        <f t="shared" si="15"/>
        <v>450000</v>
      </c>
      <c r="I32" s="286">
        <f t="shared" si="15"/>
        <v>9910500</v>
      </c>
      <c r="J32" s="286">
        <f>SUM(J6:J31)</f>
        <v>10466700</v>
      </c>
      <c r="K32" s="286">
        <f t="shared" si="15"/>
        <v>22183670</v>
      </c>
      <c r="L32" s="286">
        <f t="shared" si="15"/>
        <v>3644630</v>
      </c>
      <c r="M32" s="286">
        <f t="shared" si="15"/>
        <v>94150308</v>
      </c>
      <c r="N32" s="337">
        <f t="shared" si="15"/>
        <v>119978608</v>
      </c>
      <c r="O32" s="258">
        <f t="shared" si="15"/>
        <v>21819664</v>
      </c>
      <c r="P32" s="258">
        <f t="shared" si="15"/>
        <v>3585340</v>
      </c>
      <c r="Q32" s="258">
        <f t="shared" si="15"/>
        <v>94127789</v>
      </c>
      <c r="R32" s="323">
        <f t="shared" si="15"/>
        <v>119532793</v>
      </c>
      <c r="S32" s="286">
        <f t="shared" si="15"/>
        <v>-364006</v>
      </c>
      <c r="T32" s="327">
        <f>SUM(T6:T31)</f>
        <v>-59290</v>
      </c>
      <c r="U32" s="286">
        <f t="shared" si="15"/>
        <v>-22519</v>
      </c>
      <c r="V32" s="337">
        <f t="shared" si="15"/>
        <v>-445815</v>
      </c>
      <c r="W32" s="286">
        <f t="shared" si="15"/>
        <v>-648068</v>
      </c>
      <c r="X32" s="286">
        <f t="shared" si="15"/>
        <v>-418574</v>
      </c>
      <c r="Y32" s="286">
        <f t="shared" si="15"/>
        <v>-381285</v>
      </c>
      <c r="Z32" s="337">
        <f t="shared" si="15"/>
        <v>-1447927</v>
      </c>
      <c r="AA32" s="51"/>
      <c r="AB32" s="309">
        <f t="shared" si="11"/>
        <v>-13.175555555555555</v>
      </c>
      <c r="AC32" s="309">
        <f>U32/I32*100</f>
        <v>-0.22722365168255892</v>
      </c>
      <c r="AD32" s="310">
        <f t="shared" si="12"/>
        <v>-93.01644444444445</v>
      </c>
      <c r="AE32" s="310">
        <f>Y32/I32*100</f>
        <v>-3.8472831845012863</v>
      </c>
      <c r="AF32" s="51"/>
      <c r="AG32" s="51"/>
      <c r="AH32" s="51"/>
      <c r="AI32" s="51"/>
    </row>
    <row r="33" spans="1:35" s="3" customFormat="1" ht="33" customHeight="1">
      <c r="A33" s="423" t="s">
        <v>148</v>
      </c>
      <c r="B33" s="423"/>
      <c r="C33" s="287">
        <f>C32/1000000</f>
        <v>22.467732</v>
      </c>
      <c r="D33" s="287">
        <f aca="true" t="shared" si="16" ref="D33:Z33">D32/1000000</f>
        <v>4.003914</v>
      </c>
      <c r="E33" s="287">
        <f t="shared" si="16"/>
        <v>94.509074</v>
      </c>
      <c r="F33" s="287">
        <f t="shared" si="16"/>
        <v>120.98072</v>
      </c>
      <c r="G33" s="287">
        <f t="shared" si="16"/>
        <v>0.1062</v>
      </c>
      <c r="H33" s="287">
        <f t="shared" si="16"/>
        <v>0.45</v>
      </c>
      <c r="I33" s="287">
        <f>I32/1000000</f>
        <v>9.9105</v>
      </c>
      <c r="J33" s="287">
        <f>J32/1000000</f>
        <v>10.4667</v>
      </c>
      <c r="K33" s="287">
        <f t="shared" si="16"/>
        <v>22.18367</v>
      </c>
      <c r="L33" s="287">
        <f t="shared" si="16"/>
        <v>3.64463</v>
      </c>
      <c r="M33" s="287">
        <f t="shared" si="16"/>
        <v>94.150308</v>
      </c>
      <c r="N33" s="287">
        <f t="shared" si="16"/>
        <v>119.978608</v>
      </c>
      <c r="O33" s="287">
        <f t="shared" si="16"/>
        <v>21.819664</v>
      </c>
      <c r="P33" s="287">
        <f t="shared" si="16"/>
        <v>3.58534</v>
      </c>
      <c r="Q33" s="287">
        <f t="shared" si="16"/>
        <v>94.127789</v>
      </c>
      <c r="R33" s="287">
        <f t="shared" si="16"/>
        <v>119.532793</v>
      </c>
      <c r="S33" s="287">
        <f t="shared" si="16"/>
        <v>-0.364006</v>
      </c>
      <c r="T33" s="329">
        <f t="shared" si="16"/>
        <v>-0.05929</v>
      </c>
      <c r="U33" s="287">
        <f t="shared" si="16"/>
        <v>-0.022519</v>
      </c>
      <c r="V33" s="287">
        <f t="shared" si="16"/>
        <v>-0.445815</v>
      </c>
      <c r="W33" s="287">
        <f t="shared" si="16"/>
        <v>-0.648068</v>
      </c>
      <c r="X33" s="287">
        <f t="shared" si="16"/>
        <v>-0.418574</v>
      </c>
      <c r="Y33" s="287">
        <f t="shared" si="16"/>
        <v>-0.381285</v>
      </c>
      <c r="Z33" s="287">
        <f t="shared" si="16"/>
        <v>-1.447927</v>
      </c>
      <c r="AA33" s="6"/>
      <c r="AB33" s="6"/>
      <c r="AC33" s="6"/>
      <c r="AD33" s="6"/>
      <c r="AE33" s="6"/>
      <c r="AF33" s="6"/>
      <c r="AG33" s="6"/>
      <c r="AH33" s="6"/>
      <c r="AI33" s="6"/>
    </row>
    <row r="34" spans="1:26" ht="13.5" customHeight="1">
      <c r="A34" s="55"/>
      <c r="B34" s="41" t="s">
        <v>73</v>
      </c>
      <c r="G34" s="41" t="s">
        <v>60</v>
      </c>
      <c r="H34" s="55"/>
      <c r="I34" s="55"/>
      <c r="J34" s="55"/>
      <c r="K34" s="55"/>
      <c r="L34" s="55"/>
      <c r="M34" s="55"/>
      <c r="N34" s="55"/>
      <c r="O34" s="200"/>
      <c r="S34" s="55"/>
      <c r="T34" s="201"/>
      <c r="U34" s="55"/>
      <c r="V34" s="55"/>
      <c r="W34" s="55"/>
      <c r="X34" s="201"/>
      <c r="Y34" s="55"/>
      <c r="Z34" s="55"/>
    </row>
    <row r="35" spans="1:26" ht="9" customHeight="1">
      <c r="A35" s="55"/>
      <c r="B35" s="55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S35" s="202"/>
      <c r="T35" s="41"/>
      <c r="U35" s="41"/>
      <c r="V35" s="203"/>
      <c r="W35" s="204"/>
      <c r="X35" s="55"/>
      <c r="Y35" s="55"/>
      <c r="Z35" s="205"/>
    </row>
    <row r="36" spans="1:26" ht="18" customHeight="1">
      <c r="A36" s="55"/>
      <c r="B36" s="202" t="s">
        <v>30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Q36" s="376"/>
      <c r="S36" s="250"/>
      <c r="T36" s="250"/>
      <c r="U36" s="250"/>
      <c r="V36" s="204"/>
      <c r="W36" s="53"/>
      <c r="Y36" s="55"/>
      <c r="Z36" s="205"/>
    </row>
    <row r="37" spans="1:26" ht="18" customHeight="1">
      <c r="A37" s="55"/>
      <c r="B37" s="202" t="s">
        <v>15</v>
      </c>
      <c r="C37" s="196"/>
      <c r="D37" s="196"/>
      <c r="E37" s="196"/>
      <c r="F37" s="196"/>
      <c r="G37" s="41"/>
      <c r="H37" s="41"/>
      <c r="I37" s="41"/>
      <c r="J37" s="41"/>
      <c r="K37" s="41"/>
      <c r="L37" s="41"/>
      <c r="M37" s="41"/>
      <c r="N37" s="41"/>
      <c r="O37" s="197"/>
      <c r="Q37" s="206"/>
      <c r="R37" s="206"/>
      <c r="S37" s="251"/>
      <c r="T37" s="251"/>
      <c r="U37" s="328"/>
      <c r="V37" s="196"/>
      <c r="W37" s="36"/>
      <c r="X37" s="36"/>
      <c r="Y37" s="36"/>
      <c r="Z37" s="36"/>
    </row>
    <row r="38" spans="1:26" ht="18" customHeight="1">
      <c r="A38" s="55"/>
      <c r="B38" s="207" t="s">
        <v>58</v>
      </c>
      <c r="C38" s="41"/>
      <c r="D38" s="41"/>
      <c r="E38" s="41"/>
      <c r="F38" s="41"/>
      <c r="G38" s="196"/>
      <c r="H38" s="196"/>
      <c r="I38" s="196"/>
      <c r="J38" s="196"/>
      <c r="K38" s="196"/>
      <c r="L38" s="196"/>
      <c r="M38" s="196"/>
      <c r="N38" s="196"/>
      <c r="O38" s="197">
        <f>281245+3501</f>
        <v>284746</v>
      </c>
      <c r="P38" s="208"/>
      <c r="Q38" s="354"/>
      <c r="R38" s="209"/>
      <c r="T38" s="196"/>
      <c r="U38" s="196"/>
      <c r="V38" s="196"/>
      <c r="W38" s="36"/>
      <c r="X38" s="36"/>
      <c r="Y38" s="36"/>
      <c r="Z38" s="36"/>
    </row>
    <row r="39" spans="1:26" ht="18" customHeight="1">
      <c r="A39" s="55"/>
      <c r="B39" s="207" t="s">
        <v>59</v>
      </c>
      <c r="C39" s="196"/>
      <c r="D39" s="196"/>
      <c r="E39" s="196"/>
      <c r="F39" s="304"/>
      <c r="G39" s="196"/>
      <c r="H39" s="196"/>
      <c r="I39" s="196"/>
      <c r="J39" s="196"/>
      <c r="K39" s="196"/>
      <c r="L39" s="196"/>
      <c r="M39" s="196"/>
      <c r="N39" s="196"/>
      <c r="O39" s="236">
        <f>O38-2295</f>
        <v>282451</v>
      </c>
      <c r="P39" s="236"/>
      <c r="Q39" s="209"/>
      <c r="R39" s="209"/>
      <c r="S39" s="196"/>
      <c r="T39" s="196"/>
      <c r="U39" s="196"/>
      <c r="V39" s="196"/>
      <c r="W39" s="53"/>
      <c r="X39" s="53"/>
      <c r="Y39" s="53"/>
      <c r="Z39" s="53"/>
    </row>
    <row r="40" spans="1:26" ht="18" customHeight="1">
      <c r="A40" s="55"/>
      <c r="B40" s="202" t="s">
        <v>80</v>
      </c>
      <c r="C40" s="196"/>
      <c r="D40" s="196"/>
      <c r="E40" s="196"/>
      <c r="F40" s="126"/>
      <c r="O40" s="208"/>
      <c r="P40" s="208"/>
      <c r="Q40" s="209"/>
      <c r="R40" s="209"/>
      <c r="W40" s="36"/>
      <c r="X40" s="55"/>
      <c r="Y40" s="36"/>
      <c r="Z40" s="205"/>
    </row>
    <row r="41" spans="1:26" ht="18" customHeight="1">
      <c r="A41" s="55"/>
      <c r="B41" s="55"/>
      <c r="F41" s="302"/>
      <c r="P41" s="211"/>
      <c r="Q41" s="209"/>
      <c r="R41" s="209"/>
      <c r="W41" s="52"/>
      <c r="Y41" s="53"/>
      <c r="Z41" s="205"/>
    </row>
    <row r="42" spans="1:26" ht="18" customHeight="1">
      <c r="A42" s="55"/>
      <c r="B42" s="55"/>
      <c r="Q42" s="209"/>
      <c r="R42" s="209"/>
      <c r="W42" s="54"/>
      <c r="X42" s="50"/>
      <c r="Y42" s="54"/>
      <c r="Z42" s="205"/>
    </row>
    <row r="43" spans="1:26" ht="18" customHeight="1">
      <c r="A43" s="55"/>
      <c r="B43" s="202" t="s">
        <v>42</v>
      </c>
      <c r="F43" s="302"/>
      <c r="W43" s="36"/>
      <c r="X43" s="55"/>
      <c r="Y43" s="36"/>
      <c r="Z43" s="205"/>
    </row>
    <row r="44" spans="1:26" ht="48.75" customHeight="1">
      <c r="A44" s="55"/>
      <c r="B44" s="212" t="s">
        <v>41</v>
      </c>
      <c r="C44" s="421" t="s">
        <v>43</v>
      </c>
      <c r="D44" s="421"/>
      <c r="E44" s="421"/>
      <c r="F44" s="421"/>
      <c r="G44" s="421"/>
      <c r="H44" s="213"/>
      <c r="I44" s="213"/>
      <c r="J44" s="213"/>
      <c r="K44" s="212" t="s">
        <v>41</v>
      </c>
      <c r="L44" s="212"/>
      <c r="M44" s="212"/>
      <c r="N44" s="212"/>
      <c r="O44" s="213" t="s">
        <v>63</v>
      </c>
      <c r="P44" s="214"/>
      <c r="Q44" s="214"/>
      <c r="R44" s="214"/>
      <c r="S44" s="424" t="s">
        <v>44</v>
      </c>
      <c r="T44" s="425"/>
      <c r="U44" s="212" t="s">
        <v>41</v>
      </c>
      <c r="X44" s="53"/>
      <c r="Y44" s="36"/>
      <c r="Z44" s="215"/>
    </row>
    <row r="45" spans="1:26" ht="32.25" customHeight="1">
      <c r="A45" s="55"/>
      <c r="B45" s="212"/>
      <c r="C45" s="213" t="s">
        <v>14</v>
      </c>
      <c r="D45" s="213"/>
      <c r="E45" s="213"/>
      <c r="F45" s="213"/>
      <c r="G45" s="213" t="s">
        <v>57</v>
      </c>
      <c r="H45" s="213"/>
      <c r="I45" s="213"/>
      <c r="J45" s="213"/>
      <c r="K45" s="212"/>
      <c r="L45" s="212"/>
      <c r="M45" s="212"/>
      <c r="N45" s="212"/>
      <c r="O45" s="216"/>
      <c r="P45" s="216"/>
      <c r="Q45" s="216"/>
      <c r="R45" s="216"/>
      <c r="S45" s="213" t="s">
        <v>14</v>
      </c>
      <c r="T45" s="213" t="s">
        <v>57</v>
      </c>
      <c r="U45" s="212"/>
      <c r="X45" s="36"/>
      <c r="Y45" s="53"/>
      <c r="Z45" s="217"/>
    </row>
    <row r="46" spans="1:26" ht="18" customHeight="1">
      <c r="A46" s="55"/>
      <c r="B46" s="212" t="s">
        <v>45</v>
      </c>
      <c r="C46" s="218">
        <v>0.03</v>
      </c>
      <c r="D46" s="218"/>
      <c r="E46" s="218"/>
      <c r="F46" s="218"/>
      <c r="G46" s="218">
        <f>C46</f>
        <v>0.03</v>
      </c>
      <c r="H46" s="218"/>
      <c r="I46" s="218"/>
      <c r="J46" s="218"/>
      <c r="K46" s="212" t="s">
        <v>45</v>
      </c>
      <c r="L46" s="212"/>
      <c r="M46" s="212"/>
      <c r="N46" s="212"/>
      <c r="O46" s="216">
        <v>1</v>
      </c>
      <c r="P46" s="219"/>
      <c r="Q46" s="219"/>
      <c r="R46" s="219"/>
      <c r="S46" s="220">
        <f aca="true" t="shared" si="17" ref="S46:S57">1/12</f>
        <v>0.08333333333333333</v>
      </c>
      <c r="T46" s="218">
        <f>S46</f>
        <v>0.08333333333333333</v>
      </c>
      <c r="U46" s="212" t="s">
        <v>45</v>
      </c>
      <c r="X46" s="36"/>
      <c r="Y46" s="36"/>
      <c r="Z46" s="205"/>
    </row>
    <row r="47" spans="1:26" ht="19.5" customHeight="1">
      <c r="A47" s="55"/>
      <c r="B47" s="212" t="s">
        <v>46</v>
      </c>
      <c r="C47" s="221">
        <v>0.03</v>
      </c>
      <c r="D47" s="221"/>
      <c r="E47" s="221"/>
      <c r="F47" s="221"/>
      <c r="G47" s="221">
        <f aca="true" t="shared" si="18" ref="G47:G57">G46+C47</f>
        <v>0.06</v>
      </c>
      <c r="H47" s="221"/>
      <c r="I47" s="221"/>
      <c r="J47" s="221"/>
      <c r="K47" s="212" t="s">
        <v>46</v>
      </c>
      <c r="L47" s="212"/>
      <c r="M47" s="212"/>
      <c r="N47" s="212"/>
      <c r="O47" s="216">
        <v>2</v>
      </c>
      <c r="P47" s="216"/>
      <c r="Q47" s="216"/>
      <c r="R47" s="216"/>
      <c r="S47" s="218">
        <f t="shared" si="17"/>
        <v>0.08333333333333333</v>
      </c>
      <c r="T47" s="221">
        <f aca="true" t="shared" si="19" ref="T47:T57">T46+S47</f>
        <v>0.16666666666666666</v>
      </c>
      <c r="U47" s="212" t="s">
        <v>46</v>
      </c>
      <c r="X47" s="36"/>
      <c r="Y47" s="65"/>
      <c r="Z47" s="210"/>
    </row>
    <row r="48" spans="1:26" ht="14.25">
      <c r="A48" s="55"/>
      <c r="B48" s="212" t="s">
        <v>47</v>
      </c>
      <c r="C48" s="221">
        <v>0.04</v>
      </c>
      <c r="D48" s="221"/>
      <c r="E48" s="221"/>
      <c r="F48" s="221"/>
      <c r="G48" s="221">
        <f t="shared" si="18"/>
        <v>0.1</v>
      </c>
      <c r="H48" s="221"/>
      <c r="I48" s="221"/>
      <c r="J48" s="221"/>
      <c r="K48" s="212" t="s">
        <v>47</v>
      </c>
      <c r="L48" s="212"/>
      <c r="M48" s="212"/>
      <c r="N48" s="212"/>
      <c r="O48" s="216">
        <v>3</v>
      </c>
      <c r="P48" s="216"/>
      <c r="Q48" s="216"/>
      <c r="R48" s="216"/>
      <c r="S48" s="218">
        <f t="shared" si="17"/>
        <v>0.08333333333333333</v>
      </c>
      <c r="T48" s="221">
        <f t="shared" si="19"/>
        <v>0.25</v>
      </c>
      <c r="U48" s="212" t="s">
        <v>47</v>
      </c>
      <c r="X48" s="53"/>
      <c r="Y48" s="53"/>
      <c r="Z48" s="210"/>
    </row>
    <row r="49" spans="1:26" ht="15">
      <c r="A49" s="55"/>
      <c r="B49" s="20" t="s">
        <v>48</v>
      </c>
      <c r="C49" s="222">
        <v>0.05</v>
      </c>
      <c r="D49" s="222"/>
      <c r="E49" s="222"/>
      <c r="F49" s="222"/>
      <c r="G49" s="221">
        <f t="shared" si="18"/>
        <v>0.15000000000000002</v>
      </c>
      <c r="H49" s="221"/>
      <c r="I49" s="221"/>
      <c r="J49" s="221"/>
      <c r="K49" s="20" t="s">
        <v>48</v>
      </c>
      <c r="L49" s="20"/>
      <c r="M49" s="20"/>
      <c r="N49" s="20"/>
      <c r="O49" s="216">
        <v>4</v>
      </c>
      <c r="P49" s="216"/>
      <c r="Q49" s="216"/>
      <c r="R49" s="216"/>
      <c r="S49" s="218">
        <f t="shared" si="17"/>
        <v>0.08333333333333333</v>
      </c>
      <c r="T49" s="221">
        <f t="shared" si="19"/>
        <v>0.3333333333333333</v>
      </c>
      <c r="U49" s="20" t="s">
        <v>48</v>
      </c>
      <c r="X49" s="52"/>
      <c r="Y49" s="53"/>
      <c r="Z49" s="217"/>
    </row>
    <row r="50" spans="1:26" ht="15">
      <c r="A50" s="55"/>
      <c r="B50" s="20" t="s">
        <v>49</v>
      </c>
      <c r="C50" s="222">
        <v>0.07</v>
      </c>
      <c r="D50" s="222"/>
      <c r="E50" s="222"/>
      <c r="F50" s="222"/>
      <c r="G50" s="221">
        <f t="shared" si="18"/>
        <v>0.22000000000000003</v>
      </c>
      <c r="H50" s="221"/>
      <c r="I50" s="221"/>
      <c r="J50" s="221"/>
      <c r="K50" s="20" t="s">
        <v>49</v>
      </c>
      <c r="L50" s="20"/>
      <c r="M50" s="20"/>
      <c r="N50" s="20"/>
      <c r="O50" s="216">
        <v>5</v>
      </c>
      <c r="P50" s="216"/>
      <c r="Q50" s="216"/>
      <c r="R50" s="216"/>
      <c r="S50" s="218">
        <f t="shared" si="17"/>
        <v>0.08333333333333333</v>
      </c>
      <c r="T50" s="221">
        <f t="shared" si="19"/>
        <v>0.41666666666666663</v>
      </c>
      <c r="U50" s="20" t="s">
        <v>49</v>
      </c>
      <c r="X50" s="36"/>
      <c r="Y50" s="53"/>
      <c r="Z50" s="205"/>
    </row>
    <row r="51" spans="1:26" ht="15">
      <c r="A51" s="39"/>
      <c r="B51" s="20" t="s">
        <v>50</v>
      </c>
      <c r="C51" s="222">
        <v>0.08</v>
      </c>
      <c r="D51" s="222"/>
      <c r="E51" s="222"/>
      <c r="F51" s="222"/>
      <c r="G51" s="221">
        <f t="shared" si="18"/>
        <v>0.30000000000000004</v>
      </c>
      <c r="H51" s="221"/>
      <c r="I51" s="221"/>
      <c r="J51" s="221"/>
      <c r="K51" s="20" t="s">
        <v>50</v>
      </c>
      <c r="L51" s="20"/>
      <c r="M51" s="20"/>
      <c r="N51" s="20"/>
      <c r="O51" s="216">
        <v>6</v>
      </c>
      <c r="P51" s="216"/>
      <c r="Q51" s="216"/>
      <c r="R51" s="216"/>
      <c r="S51" s="218">
        <f t="shared" si="17"/>
        <v>0.08333333333333333</v>
      </c>
      <c r="T51" s="221">
        <f t="shared" si="19"/>
        <v>0.49999999999999994</v>
      </c>
      <c r="U51" s="20" t="s">
        <v>50</v>
      </c>
      <c r="X51" s="53"/>
      <c r="Y51" s="54"/>
      <c r="Z51" s="210"/>
    </row>
    <row r="52" spans="2:26" ht="15" customHeight="1">
      <c r="B52" s="216" t="s">
        <v>51</v>
      </c>
      <c r="C52" s="218">
        <v>0.09</v>
      </c>
      <c r="D52" s="218"/>
      <c r="E52" s="218"/>
      <c r="F52" s="218"/>
      <c r="G52" s="221">
        <f t="shared" si="18"/>
        <v>0.39</v>
      </c>
      <c r="H52" s="221"/>
      <c r="I52" s="221"/>
      <c r="J52" s="221"/>
      <c r="K52" s="216" t="s">
        <v>51</v>
      </c>
      <c r="L52" s="216"/>
      <c r="M52" s="216"/>
      <c r="N52" s="216"/>
      <c r="O52" s="216">
        <v>7</v>
      </c>
      <c r="P52" s="216"/>
      <c r="Q52" s="216"/>
      <c r="R52" s="216"/>
      <c r="S52" s="218">
        <f t="shared" si="17"/>
        <v>0.08333333333333333</v>
      </c>
      <c r="T52" s="221">
        <f t="shared" si="19"/>
        <v>0.5833333333333333</v>
      </c>
      <c r="U52" s="216" t="s">
        <v>51</v>
      </c>
      <c r="X52" s="36"/>
      <c r="Y52" s="54"/>
      <c r="Z52" s="210"/>
    </row>
    <row r="53" spans="2:26" ht="15" customHeight="1">
      <c r="B53" s="216" t="s">
        <v>52</v>
      </c>
      <c r="C53" s="218">
        <v>0.1</v>
      </c>
      <c r="D53" s="218"/>
      <c r="E53" s="218"/>
      <c r="F53" s="218"/>
      <c r="G53" s="221">
        <f t="shared" si="18"/>
        <v>0.49</v>
      </c>
      <c r="H53" s="221"/>
      <c r="I53" s="221"/>
      <c r="J53" s="221"/>
      <c r="K53" s="216" t="s">
        <v>52</v>
      </c>
      <c r="L53" s="216"/>
      <c r="M53" s="216"/>
      <c r="N53" s="216"/>
      <c r="O53" s="216">
        <v>8</v>
      </c>
      <c r="P53" s="216"/>
      <c r="Q53" s="216"/>
      <c r="R53" s="216"/>
      <c r="S53" s="218">
        <f t="shared" si="17"/>
        <v>0.08333333333333333</v>
      </c>
      <c r="T53" s="221">
        <f t="shared" si="19"/>
        <v>0.6666666666666666</v>
      </c>
      <c r="U53" s="216" t="s">
        <v>52</v>
      </c>
      <c r="X53" s="54"/>
      <c r="Y53" s="53"/>
      <c r="Z53" s="223"/>
    </row>
    <row r="54" spans="2:26" ht="15" customHeight="1">
      <c r="B54" s="216" t="s">
        <v>53</v>
      </c>
      <c r="C54" s="218">
        <v>0.11</v>
      </c>
      <c r="D54" s="218"/>
      <c r="E54" s="218"/>
      <c r="F54" s="218"/>
      <c r="G54" s="221">
        <f t="shared" si="18"/>
        <v>0.6</v>
      </c>
      <c r="H54" s="221"/>
      <c r="I54" s="221"/>
      <c r="J54" s="221"/>
      <c r="K54" s="216" t="s">
        <v>53</v>
      </c>
      <c r="L54" s="216"/>
      <c r="M54" s="216"/>
      <c r="N54" s="216"/>
      <c r="O54" s="216">
        <v>9</v>
      </c>
      <c r="P54" s="216"/>
      <c r="Q54" s="216"/>
      <c r="R54" s="216"/>
      <c r="S54" s="218">
        <f t="shared" si="17"/>
        <v>0.08333333333333333</v>
      </c>
      <c r="T54" s="221">
        <f t="shared" si="19"/>
        <v>0.75</v>
      </c>
      <c r="U54" s="216" t="s">
        <v>53</v>
      </c>
      <c r="X54" s="53"/>
      <c r="Y54" s="53"/>
      <c r="Z54" s="205"/>
    </row>
    <row r="55" spans="2:26" ht="15" customHeight="1">
      <c r="B55" s="216" t="s">
        <v>54</v>
      </c>
      <c r="C55" s="218">
        <v>0.12</v>
      </c>
      <c r="D55" s="218"/>
      <c r="E55" s="218"/>
      <c r="F55" s="218"/>
      <c r="G55" s="221">
        <f t="shared" si="18"/>
        <v>0.72</v>
      </c>
      <c r="H55" s="221"/>
      <c r="I55" s="221"/>
      <c r="J55" s="221"/>
      <c r="K55" s="216" t="s">
        <v>54</v>
      </c>
      <c r="L55" s="216"/>
      <c r="M55" s="216"/>
      <c r="N55" s="216"/>
      <c r="O55" s="216">
        <v>10</v>
      </c>
      <c r="P55" s="216"/>
      <c r="Q55" s="216"/>
      <c r="R55" s="216"/>
      <c r="S55" s="218">
        <f t="shared" si="17"/>
        <v>0.08333333333333333</v>
      </c>
      <c r="T55" s="221">
        <f t="shared" si="19"/>
        <v>0.8333333333333334</v>
      </c>
      <c r="U55" s="216" t="s">
        <v>54</v>
      </c>
      <c r="X55" s="52"/>
      <c r="Y55" s="53"/>
      <c r="Z55" s="205"/>
    </row>
    <row r="56" spans="2:26" ht="15" customHeight="1">
      <c r="B56" s="216" t="s">
        <v>55</v>
      </c>
      <c r="C56" s="218">
        <v>0.13</v>
      </c>
      <c r="D56" s="218"/>
      <c r="E56" s="218"/>
      <c r="F56" s="218"/>
      <c r="G56" s="221">
        <f t="shared" si="18"/>
        <v>0.85</v>
      </c>
      <c r="H56" s="221"/>
      <c r="I56" s="221"/>
      <c r="J56" s="221"/>
      <c r="K56" s="216" t="s">
        <v>55</v>
      </c>
      <c r="L56" s="216"/>
      <c r="M56" s="216"/>
      <c r="N56" s="216"/>
      <c r="O56" s="216">
        <v>11</v>
      </c>
      <c r="P56" s="216"/>
      <c r="Q56" s="216"/>
      <c r="R56" s="216"/>
      <c r="S56" s="218">
        <f t="shared" si="17"/>
        <v>0.08333333333333333</v>
      </c>
      <c r="T56" s="221">
        <f t="shared" si="19"/>
        <v>0.9166666666666667</v>
      </c>
      <c r="U56" s="216" t="s">
        <v>55</v>
      </c>
      <c r="X56" s="36"/>
      <c r="Y56" s="54"/>
      <c r="Z56" s="215"/>
    </row>
    <row r="57" spans="2:26" ht="15">
      <c r="B57" s="224" t="s">
        <v>56</v>
      </c>
      <c r="C57" s="225">
        <v>0.15</v>
      </c>
      <c r="D57" s="225"/>
      <c r="E57" s="225"/>
      <c r="F57" s="225"/>
      <c r="G57" s="221">
        <f t="shared" si="18"/>
        <v>1</v>
      </c>
      <c r="H57" s="221"/>
      <c r="I57" s="221"/>
      <c r="J57" s="221"/>
      <c r="K57" s="224" t="s">
        <v>56</v>
      </c>
      <c r="L57" s="224"/>
      <c r="M57" s="224"/>
      <c r="N57" s="224"/>
      <c r="O57" s="216">
        <v>12</v>
      </c>
      <c r="P57" s="216"/>
      <c r="Q57" s="216"/>
      <c r="R57" s="216"/>
      <c r="S57" s="218">
        <f t="shared" si="17"/>
        <v>0.08333333333333333</v>
      </c>
      <c r="T57" s="221">
        <f t="shared" si="19"/>
        <v>1</v>
      </c>
      <c r="U57" s="224" t="s">
        <v>56</v>
      </c>
      <c r="X57" s="53"/>
      <c r="Y57" s="36"/>
      <c r="Z57" s="205"/>
    </row>
    <row r="58" spans="2:26" ht="15">
      <c r="B58" s="224"/>
      <c r="C58" s="226">
        <f>SUM(C46:C57)</f>
        <v>1</v>
      </c>
      <c r="D58" s="227"/>
      <c r="E58" s="227"/>
      <c r="F58" s="227"/>
      <c r="O58" s="224"/>
      <c r="P58" s="224"/>
      <c r="Q58" s="224"/>
      <c r="R58" s="224"/>
      <c r="S58" s="226">
        <f>SUM(S46:S57)</f>
        <v>1</v>
      </c>
      <c r="T58" s="199"/>
      <c r="U58" s="224"/>
      <c r="X58" s="53"/>
      <c r="Y58" s="54"/>
      <c r="Z58" s="205"/>
    </row>
    <row r="59" spans="2:26" ht="15">
      <c r="B59" s="199"/>
      <c r="C59" s="199"/>
      <c r="D59" s="199"/>
      <c r="E59" s="199"/>
      <c r="F59" s="199"/>
      <c r="G59" s="199"/>
      <c r="H59" s="199"/>
      <c r="I59" s="199"/>
      <c r="J59" s="199"/>
      <c r="K59" s="228"/>
      <c r="L59" s="228"/>
      <c r="M59" s="228"/>
      <c r="N59" s="228"/>
      <c r="S59" s="228"/>
      <c r="T59" s="199"/>
      <c r="U59" s="51"/>
      <c r="V59" s="36"/>
      <c r="W59" s="36"/>
      <c r="X59" s="53"/>
      <c r="Y59" s="36"/>
      <c r="Z59" s="205"/>
    </row>
    <row r="60" spans="2:26" ht="15">
      <c r="B60" s="199"/>
      <c r="C60" s="199"/>
      <c r="D60" s="199"/>
      <c r="E60" s="199"/>
      <c r="F60" s="199"/>
      <c r="G60" s="199"/>
      <c r="H60" s="199"/>
      <c r="I60" s="199"/>
      <c r="J60" s="199"/>
      <c r="K60" s="51"/>
      <c r="L60" s="51"/>
      <c r="M60" s="51"/>
      <c r="N60" s="51"/>
      <c r="S60" s="36"/>
      <c r="T60" s="51"/>
      <c r="U60" s="51"/>
      <c r="V60" s="36"/>
      <c r="W60" s="52"/>
      <c r="X60" s="36"/>
      <c r="Y60" s="54"/>
      <c r="Z60" s="205"/>
    </row>
    <row r="61" spans="2:26" ht="15">
      <c r="B61" s="199"/>
      <c r="C61" s="199"/>
      <c r="D61" s="199"/>
      <c r="E61" s="199"/>
      <c r="F61" s="199"/>
      <c r="G61" s="199"/>
      <c r="H61" s="199"/>
      <c r="I61" s="199"/>
      <c r="J61" s="199"/>
      <c r="K61" s="229"/>
      <c r="L61" s="229"/>
      <c r="M61" s="229"/>
      <c r="N61" s="229"/>
      <c r="S61" s="229"/>
      <c r="T61" s="229"/>
      <c r="U61" s="229"/>
      <c r="V61" s="53"/>
      <c r="W61" s="52"/>
      <c r="X61" s="36"/>
      <c r="Y61" s="36"/>
      <c r="Z61" s="229"/>
    </row>
    <row r="62" spans="2:26" ht="15">
      <c r="B62" s="199"/>
      <c r="C62" s="199"/>
      <c r="D62" s="199"/>
      <c r="E62" s="199"/>
      <c r="F62" s="199"/>
      <c r="G62" s="199"/>
      <c r="H62" s="199"/>
      <c r="I62" s="199"/>
      <c r="J62" s="199"/>
      <c r="K62" s="51"/>
      <c r="L62" s="51"/>
      <c r="M62" s="51"/>
      <c r="N62" s="51"/>
      <c r="S62" s="36"/>
      <c r="T62" s="51"/>
      <c r="U62" s="51"/>
      <c r="V62" s="54"/>
      <c r="X62" s="36"/>
      <c r="Y62" s="53"/>
      <c r="Z62" s="51"/>
    </row>
    <row r="63" spans="2:26" ht="15">
      <c r="B63" s="199"/>
      <c r="C63" s="199"/>
      <c r="D63" s="199"/>
      <c r="E63" s="199"/>
      <c r="F63" s="199"/>
      <c r="G63" s="199"/>
      <c r="H63" s="199"/>
      <c r="I63" s="199"/>
      <c r="J63" s="199"/>
      <c r="K63" s="229"/>
      <c r="L63" s="229"/>
      <c r="M63" s="229"/>
      <c r="N63" s="229"/>
      <c r="S63" s="229"/>
      <c r="T63" s="229"/>
      <c r="U63" s="229"/>
      <c r="V63" s="54"/>
      <c r="W63" s="229"/>
      <c r="X63" s="36"/>
      <c r="Y63" s="62"/>
      <c r="Z63" s="229"/>
    </row>
    <row r="64" spans="22:25" ht="14.25">
      <c r="V64" s="54"/>
      <c r="X64" s="36"/>
      <c r="Y64" s="62"/>
    </row>
    <row r="65" spans="22:25" ht="14.25">
      <c r="V65" s="52"/>
      <c r="X65" s="36"/>
      <c r="Y65" s="63"/>
    </row>
    <row r="66" spans="4:25" ht="14.25">
      <c r="D66" s="50">
        <v>4313</v>
      </c>
      <c r="V66" s="52"/>
      <c r="X66" s="36"/>
      <c r="Y66" s="63"/>
    </row>
    <row r="67" spans="4:25" ht="14.25">
      <c r="D67" s="302">
        <f>D24-D66</f>
        <v>202848</v>
      </c>
      <c r="V67" s="54"/>
      <c r="X67" s="36"/>
      <c r="Y67" s="63"/>
    </row>
    <row r="68" spans="22:25" ht="14.25">
      <c r="V68" s="54"/>
      <c r="X68" s="36"/>
      <c r="Y68" s="62"/>
    </row>
    <row r="69" spans="22:25" ht="14.25">
      <c r="V69" s="54"/>
      <c r="X69" s="53"/>
      <c r="Y69" s="62"/>
    </row>
    <row r="74" spans="23:24" ht="14.25">
      <c r="W74" s="50"/>
      <c r="X74" s="50"/>
    </row>
    <row r="76" spans="21:24" ht="14.25">
      <c r="U76" s="230"/>
      <c r="V76" s="230"/>
      <c r="W76" s="230"/>
      <c r="X76" s="230"/>
    </row>
    <row r="79" ht="14.25">
      <c r="V79" s="230"/>
    </row>
    <row r="86" ht="14.25"/>
    <row r="87" ht="14.25"/>
    <row r="88" ht="14.25"/>
    <row r="89" ht="14.25"/>
    <row r="90" ht="14.25"/>
    <row r="91" ht="14.25"/>
    <row r="92" ht="14.25"/>
    <row r="103" ht="14.25">
      <c r="U103" s="50" t="s">
        <v>102</v>
      </c>
    </row>
    <row r="204" ht="14.25">
      <c r="U204" s="50" t="s">
        <v>103</v>
      </c>
    </row>
    <row r="212" ht="14.25">
      <c r="U212" s="235" t="s">
        <v>104</v>
      </c>
    </row>
  </sheetData>
  <sheetProtection/>
  <mergeCells count="30">
    <mergeCell ref="S44:T44"/>
    <mergeCell ref="C4:C5"/>
    <mergeCell ref="D4:D5"/>
    <mergeCell ref="E4:E5"/>
    <mergeCell ref="S4:V4"/>
    <mergeCell ref="M4:M5"/>
    <mergeCell ref="O4:O5"/>
    <mergeCell ref="P4:P5"/>
    <mergeCell ref="Q4:Q5"/>
    <mergeCell ref="C44:G44"/>
    <mergeCell ref="A3:A5"/>
    <mergeCell ref="B3:B5"/>
    <mergeCell ref="C3:F3"/>
    <mergeCell ref="F4:F5"/>
    <mergeCell ref="A33:B33"/>
    <mergeCell ref="G3:J3"/>
    <mergeCell ref="G4:G5"/>
    <mergeCell ref="H4:H5"/>
    <mergeCell ref="I4:I5"/>
    <mergeCell ref="S3:Z3"/>
    <mergeCell ref="K4:K5"/>
    <mergeCell ref="L4:L5"/>
    <mergeCell ref="O3:R3"/>
    <mergeCell ref="R4:R5"/>
    <mergeCell ref="K3:N3"/>
    <mergeCell ref="AB4:AC4"/>
    <mergeCell ref="AD4:AE4"/>
    <mergeCell ref="J4:J5"/>
    <mergeCell ref="N4:N5"/>
    <mergeCell ref="W4:Z4"/>
  </mergeCells>
  <conditionalFormatting sqref="U6:U31">
    <cfRule type="top10" priority="80" dxfId="3" stopIfTrue="1" rank="5" bottom="1"/>
    <cfRule type="top10" priority="81" dxfId="0" stopIfTrue="1" rank="5"/>
  </conditionalFormatting>
  <conditionalFormatting sqref="V6:V31">
    <cfRule type="top10" priority="78" dxfId="3" stopIfTrue="1" rank="5" bottom="1"/>
    <cfRule type="top10" priority="79" dxfId="0" stopIfTrue="1" rank="5"/>
  </conditionalFormatting>
  <conditionalFormatting sqref="W6:W31">
    <cfRule type="top10" priority="76" dxfId="3" stopIfTrue="1" rank="5" bottom="1"/>
    <cfRule type="top10" priority="77" dxfId="0" stopIfTrue="1" rank="5"/>
  </conditionalFormatting>
  <conditionalFormatting sqref="X6:X31">
    <cfRule type="top10" priority="74" dxfId="3" stopIfTrue="1" rank="5" bottom="1"/>
    <cfRule type="top10" priority="75" dxfId="0" stopIfTrue="1" rank="5"/>
  </conditionalFormatting>
  <conditionalFormatting sqref="Y6:Y31">
    <cfRule type="top10" priority="72" dxfId="3" stopIfTrue="1" rank="5" bottom="1"/>
    <cfRule type="top10" priority="73" dxfId="0" stopIfTrue="1" rank="5"/>
  </conditionalFormatting>
  <conditionalFormatting sqref="Z6:Z31">
    <cfRule type="top10" priority="70" dxfId="3" stopIfTrue="1" rank="5" bottom="1"/>
    <cfRule type="top10" priority="71" dxfId="0" stopIfTrue="1" rank="5"/>
  </conditionalFormatting>
  <conditionalFormatting sqref="S6:S31">
    <cfRule type="top10" priority="51" dxfId="3" stopIfTrue="1" rank="5" bottom="1"/>
    <cfRule type="top10" priority="52" dxfId="0" stopIfTrue="1" rank="5"/>
  </conditionalFormatting>
  <conditionalFormatting sqref="F6:F31">
    <cfRule type="top10" priority="42" dxfId="0" stopIfTrue="1" rank="3"/>
  </conditionalFormatting>
  <conditionalFormatting sqref="AB6:AC32">
    <cfRule type="top10" priority="9" dxfId="61" stopIfTrue="1" rank="3" bottom="1"/>
    <cfRule type="top10" priority="10" dxfId="0" stopIfTrue="1" rank="3"/>
  </conditionalFormatting>
  <conditionalFormatting sqref="AC6:AC32">
    <cfRule type="top10" priority="8" dxfId="0" stopIfTrue="1" rank="3"/>
  </conditionalFormatting>
  <conditionalFormatting sqref="AD6:AE32">
    <cfRule type="top10" priority="6" dxfId="61" stopIfTrue="1" rank="3" bottom="1"/>
    <cfRule type="top10" priority="7" dxfId="0" stopIfTrue="1" rank="3"/>
  </conditionalFormatting>
  <conditionalFormatting sqref="AE6:AE32">
    <cfRule type="top10" priority="5" dxfId="0" stopIfTrue="1" rank="3"/>
  </conditionalFormatting>
  <conditionalFormatting sqref="AE6:AE31">
    <cfRule type="top10" priority="4" dxfId="61" stopIfTrue="1" rank="3" bottom="1"/>
  </conditionalFormatting>
  <conditionalFormatting sqref="AD6:AD31">
    <cfRule type="top10" priority="3" dxfId="0" stopIfTrue="1" rank="3"/>
  </conditionalFormatting>
  <conditionalFormatting sqref="AC6:AC31">
    <cfRule type="top10" priority="2" dxfId="61" stopIfTrue="1" rank="3" bottom="1"/>
  </conditionalFormatting>
  <conditionalFormatting sqref="AB6:AB31">
    <cfRule type="top10" priority="1" dxfId="61" stopIfTrue="1" rank="3" bottom="1"/>
  </conditionalFormatting>
  <conditionalFormatting sqref="T6:T31 T33">
    <cfRule type="top10" priority="82" dxfId="3" stopIfTrue="1" rank="5" bottom="1"/>
    <cfRule type="top10" priority="83" dxfId="0" stopIfTrue="1" rank="5" bottom="1"/>
    <cfRule type="top10" priority="84" dxfId="0" stopIfTrue="1" rank="5"/>
  </conditionalFormatting>
  <printOptions/>
  <pageMargins left="0.1968503937007874" right="0.03937007874015748" top="0.3937007874015748" bottom="0.3937007874015748" header="0.2362204724409449" footer="0.2362204724409449"/>
  <pageSetup horizontalDpi="600" verticalDpi="600" orientation="landscape" paperSize="9" scale="63" r:id="rId3"/>
  <rowBreaks count="1" manualBreakCount="1">
    <brk id="35" max="25" man="1"/>
  </rowBreaks>
  <legacyDrawing r:id="rId2"/>
  <oleObjects>
    <oleObject progId="Word.Picture.8" shapeId="7290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58">
      <selection activeCell="I75" sqref="I75"/>
    </sheetView>
  </sheetViews>
  <sheetFormatPr defaultColWidth="7.8515625" defaultRowHeight="12.75"/>
  <cols>
    <col min="1" max="1" width="4.8515625" style="142" customWidth="1"/>
    <col min="2" max="2" width="22.57421875" style="142" customWidth="1"/>
    <col min="3" max="3" width="13.8515625" style="142" customWidth="1"/>
    <col min="4" max="4" width="22.57421875" style="142" customWidth="1"/>
    <col min="5" max="5" width="25.7109375" style="142" customWidth="1"/>
    <col min="6" max="6" width="26.8515625" style="265" customWidth="1"/>
    <col min="7" max="7" width="7.8515625" style="142" customWidth="1"/>
    <col min="8" max="8" width="14.28125" style="142" customWidth="1"/>
    <col min="9" max="9" width="11.421875" style="142" customWidth="1"/>
    <col min="10" max="13" width="7.8515625" style="142" customWidth="1"/>
    <col min="14" max="16384" width="7.8515625" style="142" customWidth="1"/>
  </cols>
  <sheetData>
    <row r="1" spans="2:5" ht="18" customHeight="1">
      <c r="B1" s="134"/>
      <c r="C1" s="134"/>
      <c r="D1" s="134"/>
      <c r="E1" s="134" t="s">
        <v>136</v>
      </c>
    </row>
    <row r="2" spans="1:6" ht="18" customHeight="1">
      <c r="A2" s="262"/>
      <c r="B2" s="260"/>
      <c r="C2" s="260"/>
      <c r="D2" s="260"/>
      <c r="E2" s="260"/>
      <c r="F2" s="260"/>
    </row>
    <row r="3" spans="1:6" ht="16.5" customHeight="1">
      <c r="A3" s="133" t="s">
        <v>193</v>
      </c>
      <c r="C3" s="133"/>
      <c r="D3" s="133"/>
      <c r="E3" s="134"/>
      <c r="F3" s="134"/>
    </row>
    <row r="4" spans="1:6" ht="9" customHeight="1" thickBot="1">
      <c r="A4" s="134"/>
      <c r="B4" s="134"/>
      <c r="C4" s="134"/>
      <c r="D4" s="134"/>
      <c r="E4" s="134"/>
      <c r="F4" s="134"/>
    </row>
    <row r="5" spans="1:6" ht="32.25" customHeight="1" thickBot="1">
      <c r="A5" s="268" t="s">
        <v>18</v>
      </c>
      <c r="B5" s="269" t="s">
        <v>120</v>
      </c>
      <c r="C5" s="269" t="s">
        <v>121</v>
      </c>
      <c r="D5" s="311">
        <v>41000</v>
      </c>
      <c r="E5" s="311">
        <v>41030</v>
      </c>
      <c r="F5" s="270" t="s">
        <v>2</v>
      </c>
    </row>
    <row r="6" spans="1:9" ht="18" customHeight="1">
      <c r="A6" s="486">
        <v>1</v>
      </c>
      <c r="B6" s="478" t="s">
        <v>39</v>
      </c>
      <c r="C6" s="271" t="s">
        <v>122</v>
      </c>
      <c r="D6" s="377">
        <v>6824</v>
      </c>
      <c r="E6" s="280">
        <f>'May 12(2)'!AG7</f>
        <v>6196</v>
      </c>
      <c r="F6" s="273">
        <f>SUM(D6:E6)</f>
        <v>13020</v>
      </c>
      <c r="H6" s="264"/>
      <c r="I6" s="264"/>
    </row>
    <row r="7" spans="1:9" ht="18" customHeight="1">
      <c r="A7" s="487"/>
      <c r="B7" s="479"/>
      <c r="C7" s="257" t="s">
        <v>123</v>
      </c>
      <c r="D7" s="378">
        <v>4453</v>
      </c>
      <c r="E7" s="261">
        <f>'May 12(2)'!U7</f>
        <v>3282</v>
      </c>
      <c r="F7" s="274">
        <f aca="true" t="shared" si="0" ref="F7:F70">SUM(D7:E7)</f>
        <v>7735</v>
      </c>
      <c r="I7" s="264"/>
    </row>
    <row r="8" spans="1:9" ht="18" customHeight="1" thickBot="1">
      <c r="A8" s="488"/>
      <c r="B8" s="480"/>
      <c r="C8" s="275" t="s">
        <v>124</v>
      </c>
      <c r="D8" s="379">
        <v>2371</v>
      </c>
      <c r="E8" s="276">
        <f>E6-E7</f>
        <v>2914</v>
      </c>
      <c r="F8" s="277">
        <f t="shared" si="0"/>
        <v>5285</v>
      </c>
      <c r="I8" s="264"/>
    </row>
    <row r="9" spans="1:9" ht="18" customHeight="1">
      <c r="A9" s="489">
        <v>2</v>
      </c>
      <c r="B9" s="478" t="s">
        <v>128</v>
      </c>
      <c r="C9" s="271" t="s">
        <v>122</v>
      </c>
      <c r="D9" s="377">
        <v>242311</v>
      </c>
      <c r="E9" s="280">
        <f>'May 12(2)'!AG8</f>
        <v>185736</v>
      </c>
      <c r="F9" s="273">
        <f t="shared" si="0"/>
        <v>428047</v>
      </c>
      <c r="I9" s="264"/>
    </row>
    <row r="10" spans="1:9" ht="18" customHeight="1">
      <c r="A10" s="490"/>
      <c r="B10" s="479"/>
      <c r="C10" s="257" t="s">
        <v>123</v>
      </c>
      <c r="D10" s="378">
        <v>242063</v>
      </c>
      <c r="E10" s="261">
        <f>'May 12(2)'!U8</f>
        <v>176353</v>
      </c>
      <c r="F10" s="274">
        <f t="shared" si="0"/>
        <v>418416</v>
      </c>
      <c r="I10" s="264"/>
    </row>
    <row r="11" spans="1:9" ht="18" customHeight="1" thickBot="1">
      <c r="A11" s="491"/>
      <c r="B11" s="480"/>
      <c r="C11" s="275" t="s">
        <v>124</v>
      </c>
      <c r="D11" s="379">
        <v>248</v>
      </c>
      <c r="E11" s="276">
        <f>E9-E10</f>
        <v>9383</v>
      </c>
      <c r="F11" s="277">
        <f t="shared" si="0"/>
        <v>9631</v>
      </c>
      <c r="I11" s="264"/>
    </row>
    <row r="12" spans="1:9" ht="18" customHeight="1">
      <c r="A12" s="489">
        <v>3</v>
      </c>
      <c r="B12" s="478" t="s">
        <v>3</v>
      </c>
      <c r="C12" s="271" t="s">
        <v>122</v>
      </c>
      <c r="D12" s="377">
        <v>57095</v>
      </c>
      <c r="E12" s="280">
        <f>'May 12(2)'!AG9</f>
        <v>22446</v>
      </c>
      <c r="F12" s="273">
        <f t="shared" si="0"/>
        <v>79541</v>
      </c>
      <c r="I12" s="264"/>
    </row>
    <row r="13" spans="1:9" ht="18" customHeight="1">
      <c r="A13" s="490"/>
      <c r="B13" s="479"/>
      <c r="C13" s="257" t="s">
        <v>123</v>
      </c>
      <c r="D13" s="378">
        <v>50360</v>
      </c>
      <c r="E13" s="261">
        <f>'May 12(2)'!U9</f>
        <v>24043</v>
      </c>
      <c r="F13" s="274">
        <f t="shared" si="0"/>
        <v>74403</v>
      </c>
      <c r="I13" s="264"/>
    </row>
    <row r="14" spans="1:9" ht="18" customHeight="1" thickBot="1">
      <c r="A14" s="491"/>
      <c r="B14" s="480"/>
      <c r="C14" s="275" t="s">
        <v>124</v>
      </c>
      <c r="D14" s="379">
        <v>6735</v>
      </c>
      <c r="E14" s="276">
        <f>E12-E13</f>
        <v>-1597</v>
      </c>
      <c r="F14" s="277">
        <f t="shared" si="0"/>
        <v>5138</v>
      </c>
      <c r="I14" s="264"/>
    </row>
    <row r="15" spans="1:9" ht="18" customHeight="1">
      <c r="A15" s="489">
        <v>4</v>
      </c>
      <c r="B15" s="478" t="s">
        <v>31</v>
      </c>
      <c r="C15" s="271" t="s">
        <v>122</v>
      </c>
      <c r="D15" s="377">
        <v>287168</v>
      </c>
      <c r="E15" s="280">
        <f>'May 12(2)'!AG10</f>
        <v>89217</v>
      </c>
      <c r="F15" s="273">
        <f t="shared" si="0"/>
        <v>376385</v>
      </c>
      <c r="I15" s="264"/>
    </row>
    <row r="16" spans="1:9" ht="18" customHeight="1">
      <c r="A16" s="490"/>
      <c r="B16" s="479"/>
      <c r="C16" s="257" t="s">
        <v>123</v>
      </c>
      <c r="D16" s="378">
        <v>281798</v>
      </c>
      <c r="E16" s="261">
        <f>'May 12(2)'!U10</f>
        <v>58204</v>
      </c>
      <c r="F16" s="274">
        <f t="shared" si="0"/>
        <v>340002</v>
      </c>
      <c r="I16" s="264"/>
    </row>
    <row r="17" spans="1:9" ht="18" customHeight="1" thickBot="1">
      <c r="A17" s="491"/>
      <c r="B17" s="480"/>
      <c r="C17" s="275" t="s">
        <v>124</v>
      </c>
      <c r="D17" s="379">
        <v>5370</v>
      </c>
      <c r="E17" s="276">
        <f>E15-E16</f>
        <v>31013</v>
      </c>
      <c r="F17" s="277">
        <f t="shared" si="0"/>
        <v>36383</v>
      </c>
      <c r="I17" s="264"/>
    </row>
    <row r="18" spans="1:9" ht="18" customHeight="1">
      <c r="A18" s="489">
        <v>5</v>
      </c>
      <c r="B18" s="478" t="s">
        <v>5</v>
      </c>
      <c r="C18" s="271" t="s">
        <v>122</v>
      </c>
      <c r="D18" s="377">
        <v>34608</v>
      </c>
      <c r="E18" s="280">
        <f>'May 12(2)'!AG11</f>
        <v>26559</v>
      </c>
      <c r="F18" s="273">
        <f t="shared" si="0"/>
        <v>61167</v>
      </c>
      <c r="I18" s="264"/>
    </row>
    <row r="19" spans="1:9" ht="18" customHeight="1">
      <c r="A19" s="490"/>
      <c r="B19" s="479"/>
      <c r="C19" s="257" t="s">
        <v>123</v>
      </c>
      <c r="D19" s="378">
        <v>18</v>
      </c>
      <c r="E19" s="261">
        <f>'May 12(2)'!U11</f>
        <v>0</v>
      </c>
      <c r="F19" s="274">
        <f t="shared" si="0"/>
        <v>18</v>
      </c>
      <c r="I19" s="264"/>
    </row>
    <row r="20" spans="1:9" ht="18" customHeight="1" thickBot="1">
      <c r="A20" s="491"/>
      <c r="B20" s="480"/>
      <c r="C20" s="275" t="s">
        <v>124</v>
      </c>
      <c r="D20" s="379">
        <v>34590</v>
      </c>
      <c r="E20" s="276">
        <f>E18-E19</f>
        <v>26559</v>
      </c>
      <c r="F20" s="277">
        <f t="shared" si="0"/>
        <v>61149</v>
      </c>
      <c r="I20" s="264"/>
    </row>
    <row r="21" spans="1:9" ht="18" customHeight="1">
      <c r="A21" s="489">
        <v>6</v>
      </c>
      <c r="B21" s="478" t="s">
        <v>32</v>
      </c>
      <c r="C21" s="271" t="s">
        <v>122</v>
      </c>
      <c r="D21" s="377">
        <v>16271</v>
      </c>
      <c r="E21" s="280">
        <f>'May 12(2)'!AG12</f>
        <v>0</v>
      </c>
      <c r="F21" s="273">
        <f t="shared" si="0"/>
        <v>16271</v>
      </c>
      <c r="I21" s="264"/>
    </row>
    <row r="22" spans="1:9" ht="18" customHeight="1">
      <c r="A22" s="490"/>
      <c r="B22" s="479"/>
      <c r="C22" s="257" t="s">
        <v>123</v>
      </c>
      <c r="D22" s="378">
        <v>1286</v>
      </c>
      <c r="E22" s="261">
        <f>'May 12(2)'!U12</f>
        <v>23135</v>
      </c>
      <c r="F22" s="274">
        <f t="shared" si="0"/>
        <v>24421</v>
      </c>
      <c r="I22" s="264"/>
    </row>
    <row r="23" spans="1:9" ht="18" customHeight="1" thickBot="1">
      <c r="A23" s="491"/>
      <c r="B23" s="480"/>
      <c r="C23" s="275" t="s">
        <v>124</v>
      </c>
      <c r="D23" s="379">
        <v>14985</v>
      </c>
      <c r="E23" s="276">
        <f>E21-E22</f>
        <v>-23135</v>
      </c>
      <c r="F23" s="277">
        <f t="shared" si="0"/>
        <v>-8150</v>
      </c>
      <c r="I23" s="264"/>
    </row>
    <row r="24" spans="1:9" ht="18" customHeight="1">
      <c r="A24" s="489">
        <v>7</v>
      </c>
      <c r="B24" s="478" t="s">
        <v>66</v>
      </c>
      <c r="C24" s="271" t="s">
        <v>122</v>
      </c>
      <c r="D24" s="377">
        <v>46605</v>
      </c>
      <c r="E24" s="280">
        <f>'May 12(2)'!AG13</f>
        <v>48242</v>
      </c>
      <c r="F24" s="273">
        <f t="shared" si="0"/>
        <v>94847</v>
      </c>
      <c r="I24" s="264"/>
    </row>
    <row r="25" spans="1:9" ht="18" customHeight="1">
      <c r="A25" s="490"/>
      <c r="B25" s="479"/>
      <c r="C25" s="257" t="s">
        <v>123</v>
      </c>
      <c r="D25" s="378">
        <v>42037</v>
      </c>
      <c r="E25" s="261">
        <f>'May 12(2)'!U13</f>
        <v>41185</v>
      </c>
      <c r="F25" s="274">
        <f t="shared" si="0"/>
        <v>83222</v>
      </c>
      <c r="I25" s="264"/>
    </row>
    <row r="26" spans="1:9" ht="18" customHeight="1" thickBot="1">
      <c r="A26" s="491"/>
      <c r="B26" s="480"/>
      <c r="C26" s="275" t="s">
        <v>124</v>
      </c>
      <c r="D26" s="379">
        <v>4568</v>
      </c>
      <c r="E26" s="276">
        <f>E24-E25</f>
        <v>7057</v>
      </c>
      <c r="F26" s="277">
        <f t="shared" si="0"/>
        <v>11625</v>
      </c>
      <c r="I26" s="264"/>
    </row>
    <row r="27" spans="1:9" ht="18" customHeight="1">
      <c r="A27" s="489">
        <v>8</v>
      </c>
      <c r="B27" s="478" t="s">
        <v>125</v>
      </c>
      <c r="C27" s="271" t="s">
        <v>122</v>
      </c>
      <c r="D27" s="377">
        <v>21833</v>
      </c>
      <c r="E27" s="280">
        <f>'May 12(2)'!AG14</f>
        <v>23641</v>
      </c>
      <c r="F27" s="273">
        <f t="shared" si="0"/>
        <v>45474</v>
      </c>
      <c r="I27" s="264"/>
    </row>
    <row r="28" spans="1:9" ht="18" customHeight="1">
      <c r="A28" s="490"/>
      <c r="B28" s="479"/>
      <c r="C28" s="257" t="s">
        <v>123</v>
      </c>
      <c r="D28" s="378">
        <v>248170</v>
      </c>
      <c r="E28" s="261">
        <f>'May 12(2)'!U14</f>
        <v>10840</v>
      </c>
      <c r="F28" s="274">
        <f t="shared" si="0"/>
        <v>259010</v>
      </c>
      <c r="I28" s="264"/>
    </row>
    <row r="29" spans="1:9" ht="18" customHeight="1" thickBot="1">
      <c r="A29" s="491"/>
      <c r="B29" s="480"/>
      <c r="C29" s="275" t="s">
        <v>124</v>
      </c>
      <c r="D29" s="379">
        <v>-226337</v>
      </c>
      <c r="E29" s="276">
        <f>E27-E28</f>
        <v>12801</v>
      </c>
      <c r="F29" s="277">
        <f t="shared" si="0"/>
        <v>-213536</v>
      </c>
      <c r="I29" s="264"/>
    </row>
    <row r="30" spans="1:9" ht="18" customHeight="1">
      <c r="A30" s="489">
        <v>9</v>
      </c>
      <c r="B30" s="478" t="s">
        <v>33</v>
      </c>
      <c r="C30" s="271" t="s">
        <v>122</v>
      </c>
      <c r="D30" s="377">
        <v>35064</v>
      </c>
      <c r="E30" s="280">
        <f>'May 12(2)'!AG15</f>
        <v>42460</v>
      </c>
      <c r="F30" s="273">
        <f t="shared" si="0"/>
        <v>77524</v>
      </c>
      <c r="I30" s="264"/>
    </row>
    <row r="31" spans="1:9" ht="18" customHeight="1">
      <c r="A31" s="490"/>
      <c r="B31" s="479"/>
      <c r="C31" s="257" t="s">
        <v>123</v>
      </c>
      <c r="D31" s="378">
        <v>13956</v>
      </c>
      <c r="E31" s="261">
        <f>'May 12(2)'!U15</f>
        <v>20847</v>
      </c>
      <c r="F31" s="274">
        <f t="shared" si="0"/>
        <v>34803</v>
      </c>
      <c r="I31" s="264"/>
    </row>
    <row r="32" spans="1:9" ht="18" customHeight="1" thickBot="1">
      <c r="A32" s="491"/>
      <c r="B32" s="480"/>
      <c r="C32" s="275" t="s">
        <v>124</v>
      </c>
      <c r="D32" s="379">
        <v>21108</v>
      </c>
      <c r="E32" s="276">
        <f>E30-E31</f>
        <v>21613</v>
      </c>
      <c r="F32" s="277">
        <f t="shared" si="0"/>
        <v>42721</v>
      </c>
      <c r="I32" s="264"/>
    </row>
    <row r="33" spans="1:9" ht="18" customHeight="1">
      <c r="A33" s="489">
        <v>10</v>
      </c>
      <c r="B33" s="478" t="s">
        <v>6</v>
      </c>
      <c r="C33" s="271" t="s">
        <v>122</v>
      </c>
      <c r="D33" s="377">
        <v>73324</v>
      </c>
      <c r="E33" s="280">
        <f>'May 12(2)'!AG16</f>
        <v>11516</v>
      </c>
      <c r="F33" s="273">
        <f t="shared" si="0"/>
        <v>84840</v>
      </c>
      <c r="I33" s="264"/>
    </row>
    <row r="34" spans="1:9" ht="18" customHeight="1">
      <c r="A34" s="490"/>
      <c r="B34" s="479"/>
      <c r="C34" s="257" t="s">
        <v>123</v>
      </c>
      <c r="D34" s="378">
        <v>68395</v>
      </c>
      <c r="E34" s="261">
        <f>'May 12(2)'!U16</f>
        <v>10700</v>
      </c>
      <c r="F34" s="274">
        <f t="shared" si="0"/>
        <v>79095</v>
      </c>
      <c r="I34" s="264"/>
    </row>
    <row r="35" spans="1:9" ht="18" customHeight="1" thickBot="1">
      <c r="A35" s="491"/>
      <c r="B35" s="480"/>
      <c r="C35" s="275" t="s">
        <v>124</v>
      </c>
      <c r="D35" s="379">
        <v>4929</v>
      </c>
      <c r="E35" s="276">
        <f>E33-E34</f>
        <v>816</v>
      </c>
      <c r="F35" s="277">
        <f t="shared" si="0"/>
        <v>5745</v>
      </c>
      <c r="I35" s="264"/>
    </row>
    <row r="36" spans="1:9" ht="18" customHeight="1">
      <c r="A36" s="489">
        <v>11</v>
      </c>
      <c r="B36" s="478" t="s">
        <v>126</v>
      </c>
      <c r="C36" s="271" t="s">
        <v>122</v>
      </c>
      <c r="D36" s="377">
        <v>147707</v>
      </c>
      <c r="E36" s="280">
        <f>'May 12(2)'!AG17</f>
        <v>111082</v>
      </c>
      <c r="F36" s="273">
        <f t="shared" si="0"/>
        <v>258789</v>
      </c>
      <c r="I36" s="264"/>
    </row>
    <row r="37" spans="1:9" ht="18" customHeight="1">
      <c r="A37" s="490"/>
      <c r="B37" s="479"/>
      <c r="C37" s="257" t="s">
        <v>123</v>
      </c>
      <c r="D37" s="378">
        <v>80493</v>
      </c>
      <c r="E37" s="261">
        <f>'May 12(2)'!U17</f>
        <v>127725</v>
      </c>
      <c r="F37" s="274">
        <f t="shared" si="0"/>
        <v>208218</v>
      </c>
      <c r="I37" s="264"/>
    </row>
    <row r="38" spans="1:9" ht="18" customHeight="1" thickBot="1">
      <c r="A38" s="491"/>
      <c r="B38" s="480"/>
      <c r="C38" s="275" t="s">
        <v>124</v>
      </c>
      <c r="D38" s="379">
        <v>67214</v>
      </c>
      <c r="E38" s="276">
        <f>E36-E37</f>
        <v>-16643</v>
      </c>
      <c r="F38" s="277">
        <f t="shared" si="0"/>
        <v>50571</v>
      </c>
      <c r="I38" s="264"/>
    </row>
    <row r="39" spans="1:9" ht="18" customHeight="1">
      <c r="A39" s="489">
        <v>12</v>
      </c>
      <c r="B39" s="478" t="s">
        <v>35</v>
      </c>
      <c r="C39" s="271" t="s">
        <v>122</v>
      </c>
      <c r="D39" s="377">
        <v>84632</v>
      </c>
      <c r="E39" s="280">
        <f>'May 12(2)'!AG18</f>
        <v>78723</v>
      </c>
      <c r="F39" s="273">
        <f t="shared" si="0"/>
        <v>163355</v>
      </c>
      <c r="I39" s="264"/>
    </row>
    <row r="40" spans="1:9" ht="18" customHeight="1">
      <c r="A40" s="490"/>
      <c r="B40" s="479"/>
      <c r="C40" s="257" t="s">
        <v>123</v>
      </c>
      <c r="D40" s="378">
        <v>1659</v>
      </c>
      <c r="E40" s="261">
        <f>'May 12(2)'!U18</f>
        <v>2333</v>
      </c>
      <c r="F40" s="274">
        <f t="shared" si="0"/>
        <v>3992</v>
      </c>
      <c r="I40" s="264"/>
    </row>
    <row r="41" spans="1:9" ht="18" customHeight="1" thickBot="1">
      <c r="A41" s="491"/>
      <c r="B41" s="480"/>
      <c r="C41" s="275" t="s">
        <v>124</v>
      </c>
      <c r="D41" s="379">
        <v>82973</v>
      </c>
      <c r="E41" s="276">
        <f>E39-E40</f>
        <v>76390</v>
      </c>
      <c r="F41" s="277">
        <f t="shared" si="0"/>
        <v>159363</v>
      </c>
      <c r="I41" s="264"/>
    </row>
    <row r="42" spans="1:9" ht="18" customHeight="1">
      <c r="A42" s="489">
        <v>13</v>
      </c>
      <c r="B42" s="478" t="s">
        <v>127</v>
      </c>
      <c r="C42" s="271" t="s">
        <v>122</v>
      </c>
      <c r="D42" s="377">
        <v>63158</v>
      </c>
      <c r="E42" s="280">
        <f>'May 12(2)'!AG19</f>
        <v>41801</v>
      </c>
      <c r="F42" s="273">
        <f t="shared" si="0"/>
        <v>104959</v>
      </c>
      <c r="I42" s="264"/>
    </row>
    <row r="43" spans="1:9" ht="18" customHeight="1">
      <c r="A43" s="490"/>
      <c r="B43" s="479"/>
      <c r="C43" s="257" t="s">
        <v>123</v>
      </c>
      <c r="D43" s="378">
        <v>51521</v>
      </c>
      <c r="E43" s="261">
        <f>'May 12(2)'!U19</f>
        <v>118385</v>
      </c>
      <c r="F43" s="274">
        <f t="shared" si="0"/>
        <v>169906</v>
      </c>
      <c r="I43" s="264"/>
    </row>
    <row r="44" spans="1:9" ht="18" customHeight="1" thickBot="1">
      <c r="A44" s="491"/>
      <c r="B44" s="480"/>
      <c r="C44" s="275" t="s">
        <v>124</v>
      </c>
      <c r="D44" s="379">
        <v>11637</v>
      </c>
      <c r="E44" s="276">
        <f>E42-E43</f>
        <v>-76584</v>
      </c>
      <c r="F44" s="277">
        <f t="shared" si="0"/>
        <v>-64947</v>
      </c>
      <c r="I44" s="264"/>
    </row>
    <row r="45" spans="1:9" ht="18" customHeight="1">
      <c r="A45" s="489">
        <v>14</v>
      </c>
      <c r="B45" s="478" t="s">
        <v>36</v>
      </c>
      <c r="C45" s="271" t="s">
        <v>122</v>
      </c>
      <c r="D45" s="377">
        <v>156042</v>
      </c>
      <c r="E45" s="280">
        <f>'May 12(2)'!AG20</f>
        <v>285346</v>
      </c>
      <c r="F45" s="273">
        <f t="shared" si="0"/>
        <v>441388</v>
      </c>
      <c r="I45" s="264"/>
    </row>
    <row r="46" spans="1:9" ht="18" customHeight="1">
      <c r="A46" s="490"/>
      <c r="B46" s="479"/>
      <c r="C46" s="257" t="s">
        <v>123</v>
      </c>
      <c r="D46" s="378">
        <v>593979</v>
      </c>
      <c r="E46" s="261">
        <f>'May 12(2)'!U20</f>
        <v>106908</v>
      </c>
      <c r="F46" s="274">
        <f t="shared" si="0"/>
        <v>700887</v>
      </c>
      <c r="I46" s="264"/>
    </row>
    <row r="47" spans="1:9" ht="18" customHeight="1" thickBot="1">
      <c r="A47" s="491"/>
      <c r="B47" s="480"/>
      <c r="C47" s="275" t="s">
        <v>124</v>
      </c>
      <c r="D47" s="379">
        <v>-437937</v>
      </c>
      <c r="E47" s="276">
        <f>E45-E46</f>
        <v>178438</v>
      </c>
      <c r="F47" s="277">
        <f t="shared" si="0"/>
        <v>-259499</v>
      </c>
      <c r="I47" s="264"/>
    </row>
    <row r="48" spans="1:9" ht="18" customHeight="1">
      <c r="A48" s="489">
        <v>15</v>
      </c>
      <c r="B48" s="478" t="s">
        <v>13</v>
      </c>
      <c r="C48" s="271" t="s">
        <v>122</v>
      </c>
      <c r="D48" s="377">
        <v>14651</v>
      </c>
      <c r="E48" s="280">
        <f>'May 12(2)'!AG21</f>
        <v>13785</v>
      </c>
      <c r="F48" s="273">
        <f t="shared" si="0"/>
        <v>28436</v>
      </c>
      <c r="I48" s="264"/>
    </row>
    <row r="49" spans="1:9" ht="18" customHeight="1">
      <c r="A49" s="497"/>
      <c r="B49" s="479"/>
      <c r="C49" s="257" t="s">
        <v>123</v>
      </c>
      <c r="D49" s="378">
        <v>98</v>
      </c>
      <c r="E49" s="261">
        <f>'May 12(2)'!U21</f>
        <v>63</v>
      </c>
      <c r="F49" s="274">
        <f t="shared" si="0"/>
        <v>161</v>
      </c>
      <c r="I49" s="264"/>
    </row>
    <row r="50" spans="1:9" ht="18" customHeight="1" thickBot="1">
      <c r="A50" s="498"/>
      <c r="B50" s="480"/>
      <c r="C50" s="275" t="s">
        <v>124</v>
      </c>
      <c r="D50" s="379">
        <v>14553</v>
      </c>
      <c r="E50" s="276">
        <f>E48-E49</f>
        <v>13722</v>
      </c>
      <c r="F50" s="277">
        <f t="shared" si="0"/>
        <v>28275</v>
      </c>
      <c r="I50" s="264"/>
    </row>
    <row r="51" spans="1:9" ht="18" customHeight="1">
      <c r="A51" s="489">
        <v>16</v>
      </c>
      <c r="B51" s="478" t="s">
        <v>12</v>
      </c>
      <c r="C51" s="271" t="s">
        <v>122</v>
      </c>
      <c r="D51" s="377">
        <v>20972</v>
      </c>
      <c r="E51" s="280">
        <f>'May 12(2)'!AG22</f>
        <v>12168</v>
      </c>
      <c r="F51" s="273">
        <f t="shared" si="0"/>
        <v>33140</v>
      </c>
      <c r="I51" s="264"/>
    </row>
    <row r="52" spans="1:9" ht="18" customHeight="1">
      <c r="A52" s="490"/>
      <c r="B52" s="479"/>
      <c r="C52" s="257" t="s">
        <v>123</v>
      </c>
      <c r="D52" s="378">
        <v>12727</v>
      </c>
      <c r="E52" s="261">
        <f>'May 12(2)'!U22</f>
        <v>8516</v>
      </c>
      <c r="F52" s="274">
        <f t="shared" si="0"/>
        <v>21243</v>
      </c>
      <c r="I52" s="264"/>
    </row>
    <row r="53" spans="1:9" ht="18" customHeight="1" thickBot="1">
      <c r="A53" s="491"/>
      <c r="B53" s="480"/>
      <c r="C53" s="275" t="s">
        <v>124</v>
      </c>
      <c r="D53" s="379">
        <v>8245</v>
      </c>
      <c r="E53" s="276">
        <f>E51-E52</f>
        <v>3652</v>
      </c>
      <c r="F53" s="277">
        <f t="shared" si="0"/>
        <v>11897</v>
      </c>
      <c r="H53" s="264"/>
      <c r="I53" s="264"/>
    </row>
    <row r="54" spans="1:9" ht="18" customHeight="1">
      <c r="A54" s="489">
        <v>17</v>
      </c>
      <c r="B54" s="478" t="s">
        <v>69</v>
      </c>
      <c r="C54" s="271" t="s">
        <v>122</v>
      </c>
      <c r="D54" s="377">
        <v>84824</v>
      </c>
      <c r="E54" s="280">
        <f>'May 12(2)'!AG23</f>
        <v>5806</v>
      </c>
      <c r="F54" s="273">
        <f t="shared" si="0"/>
        <v>90630</v>
      </c>
      <c r="I54" s="264"/>
    </row>
    <row r="55" spans="1:9" ht="18" customHeight="1">
      <c r="A55" s="490"/>
      <c r="B55" s="479"/>
      <c r="C55" s="257" t="s">
        <v>123</v>
      </c>
      <c r="D55" s="378">
        <v>73387</v>
      </c>
      <c r="E55" s="261">
        <f>'May 12(2)'!U23</f>
        <v>1575</v>
      </c>
      <c r="F55" s="274">
        <f t="shared" si="0"/>
        <v>74962</v>
      </c>
      <c r="I55" s="264"/>
    </row>
    <row r="56" spans="1:9" ht="18" customHeight="1" thickBot="1">
      <c r="A56" s="491"/>
      <c r="B56" s="480"/>
      <c r="C56" s="275" t="s">
        <v>124</v>
      </c>
      <c r="D56" s="379">
        <v>11437</v>
      </c>
      <c r="E56" s="276">
        <f>E54-E55</f>
        <v>4231</v>
      </c>
      <c r="F56" s="277">
        <f t="shared" si="0"/>
        <v>15668</v>
      </c>
      <c r="I56" s="264"/>
    </row>
    <row r="57" spans="1:9" ht="18" customHeight="1">
      <c r="A57" s="489">
        <v>18</v>
      </c>
      <c r="B57" s="478" t="s">
        <v>37</v>
      </c>
      <c r="C57" s="271" t="s">
        <v>122</v>
      </c>
      <c r="D57" s="377">
        <v>53551</v>
      </c>
      <c r="E57" s="280">
        <f>'May 12(2)'!AG24</f>
        <v>49847</v>
      </c>
      <c r="F57" s="273">
        <f t="shared" si="0"/>
        <v>103398</v>
      </c>
      <c r="I57" s="264"/>
    </row>
    <row r="58" spans="1:9" ht="18" customHeight="1">
      <c r="A58" s="490"/>
      <c r="B58" s="479"/>
      <c r="C58" s="257" t="s">
        <v>123</v>
      </c>
      <c r="D58" s="378">
        <v>81884</v>
      </c>
      <c r="E58" s="261">
        <f>'May 12(2)'!U24</f>
        <v>389713</v>
      </c>
      <c r="F58" s="274">
        <f t="shared" si="0"/>
        <v>471597</v>
      </c>
      <c r="I58" s="264"/>
    </row>
    <row r="59" spans="1:9" ht="18" customHeight="1" thickBot="1">
      <c r="A59" s="491"/>
      <c r="B59" s="480"/>
      <c r="C59" s="275" t="s">
        <v>124</v>
      </c>
      <c r="D59" s="379">
        <v>-28333</v>
      </c>
      <c r="E59" s="276">
        <f>E57-E58</f>
        <v>-339866</v>
      </c>
      <c r="F59" s="277">
        <f t="shared" si="0"/>
        <v>-368199</v>
      </c>
      <c r="I59" s="264"/>
    </row>
    <row r="60" spans="1:9" ht="18" customHeight="1">
      <c r="A60" s="489">
        <v>19</v>
      </c>
      <c r="B60" s="478" t="s">
        <v>70</v>
      </c>
      <c r="C60" s="271" t="s">
        <v>122</v>
      </c>
      <c r="D60" s="377">
        <v>111688</v>
      </c>
      <c r="E60" s="280">
        <f>'May 12(2)'!AG25</f>
        <v>80743</v>
      </c>
      <c r="F60" s="273">
        <f t="shared" si="0"/>
        <v>192431</v>
      </c>
      <c r="I60" s="264"/>
    </row>
    <row r="61" spans="1:9" ht="18" customHeight="1">
      <c r="A61" s="490"/>
      <c r="B61" s="479"/>
      <c r="C61" s="257" t="s">
        <v>123</v>
      </c>
      <c r="D61" s="378">
        <v>79677</v>
      </c>
      <c r="E61" s="261">
        <f>'May 12(2)'!U25</f>
        <v>87395</v>
      </c>
      <c r="F61" s="274">
        <f t="shared" si="0"/>
        <v>167072</v>
      </c>
      <c r="I61" s="264"/>
    </row>
    <row r="62" spans="1:9" ht="18" customHeight="1" thickBot="1">
      <c r="A62" s="491"/>
      <c r="B62" s="480"/>
      <c r="C62" s="275" t="s">
        <v>124</v>
      </c>
      <c r="D62" s="379">
        <v>32011</v>
      </c>
      <c r="E62" s="276">
        <f>E60-E61</f>
        <v>-6652</v>
      </c>
      <c r="F62" s="277">
        <f t="shared" si="0"/>
        <v>25359</v>
      </c>
      <c r="I62" s="264"/>
    </row>
    <row r="63" spans="1:9" ht="18" customHeight="1">
      <c r="A63" s="489">
        <v>20</v>
      </c>
      <c r="B63" s="478" t="s">
        <v>71</v>
      </c>
      <c r="C63" s="271" t="s">
        <v>122</v>
      </c>
      <c r="D63" s="377">
        <v>96300</v>
      </c>
      <c r="E63" s="280">
        <f>'May 12(2)'!AG26</f>
        <v>84250</v>
      </c>
      <c r="F63" s="273">
        <f t="shared" si="0"/>
        <v>180550</v>
      </c>
      <c r="I63" s="264"/>
    </row>
    <row r="64" spans="1:9" ht="18" customHeight="1">
      <c r="A64" s="490"/>
      <c r="B64" s="479"/>
      <c r="C64" s="257" t="s">
        <v>123</v>
      </c>
      <c r="D64" s="378">
        <v>84847</v>
      </c>
      <c r="E64" s="261">
        <f>'May 12(2)'!U26</f>
        <v>70344</v>
      </c>
      <c r="F64" s="274">
        <f t="shared" si="0"/>
        <v>155191</v>
      </c>
      <c r="I64" s="264"/>
    </row>
    <row r="65" spans="1:9" ht="18" customHeight="1" thickBot="1">
      <c r="A65" s="491"/>
      <c r="B65" s="480"/>
      <c r="C65" s="275" t="s">
        <v>124</v>
      </c>
      <c r="D65" s="379">
        <v>11453</v>
      </c>
      <c r="E65" s="276">
        <f>E63-E64</f>
        <v>13906</v>
      </c>
      <c r="F65" s="277">
        <f t="shared" si="0"/>
        <v>25359</v>
      </c>
      <c r="I65" s="264"/>
    </row>
    <row r="66" spans="1:9" ht="18" customHeight="1">
      <c r="A66" s="489">
        <v>21</v>
      </c>
      <c r="B66" s="478" t="s">
        <v>72</v>
      </c>
      <c r="C66" s="271" t="s">
        <v>122</v>
      </c>
      <c r="D66" s="377">
        <v>26491</v>
      </c>
      <c r="E66" s="280">
        <f>'May 12(2)'!AG27</f>
        <v>9032</v>
      </c>
      <c r="F66" s="273">
        <f t="shared" si="0"/>
        <v>35523</v>
      </c>
      <c r="I66" s="264"/>
    </row>
    <row r="67" spans="1:9" ht="18" customHeight="1">
      <c r="A67" s="490"/>
      <c r="B67" s="479"/>
      <c r="C67" s="257" t="s">
        <v>123</v>
      </c>
      <c r="D67" s="378">
        <v>17483</v>
      </c>
      <c r="E67" s="261">
        <f>'May 12(2)'!U27</f>
        <v>13184</v>
      </c>
      <c r="F67" s="274">
        <f t="shared" si="0"/>
        <v>30667</v>
      </c>
      <c r="H67" s="264"/>
      <c r="I67" s="264"/>
    </row>
    <row r="68" spans="1:9" ht="18" customHeight="1" thickBot="1">
      <c r="A68" s="491"/>
      <c r="B68" s="480"/>
      <c r="C68" s="275" t="s">
        <v>124</v>
      </c>
      <c r="D68" s="379">
        <v>9008</v>
      </c>
      <c r="E68" s="276">
        <f>E66-E67</f>
        <v>-4152</v>
      </c>
      <c r="F68" s="277">
        <f t="shared" si="0"/>
        <v>4856</v>
      </c>
      <c r="I68" s="264"/>
    </row>
    <row r="69" spans="1:9" ht="18" customHeight="1">
      <c r="A69" s="489">
        <v>22</v>
      </c>
      <c r="B69" s="478" t="s">
        <v>7</v>
      </c>
      <c r="C69" s="271" t="s">
        <v>122</v>
      </c>
      <c r="D69" s="377">
        <v>0</v>
      </c>
      <c r="E69" s="280">
        <f>'May 12(2)'!AG28</f>
        <v>5001</v>
      </c>
      <c r="F69" s="273">
        <f t="shared" si="0"/>
        <v>5001</v>
      </c>
      <c r="I69" s="264"/>
    </row>
    <row r="70" spans="1:9" ht="18" customHeight="1">
      <c r="A70" s="490"/>
      <c r="B70" s="479"/>
      <c r="C70" s="257" t="s">
        <v>123</v>
      </c>
      <c r="D70" s="378">
        <v>49869</v>
      </c>
      <c r="E70" s="261">
        <f>'May 12(2)'!U28</f>
        <v>5679</v>
      </c>
      <c r="F70" s="274">
        <f t="shared" si="0"/>
        <v>55548</v>
      </c>
      <c r="I70" s="264"/>
    </row>
    <row r="71" spans="1:9" ht="18" customHeight="1" thickBot="1">
      <c r="A71" s="491"/>
      <c r="B71" s="480"/>
      <c r="C71" s="275" t="s">
        <v>124</v>
      </c>
      <c r="D71" s="379">
        <v>-49869</v>
      </c>
      <c r="E71" s="276">
        <f>E69-E70</f>
        <v>-678</v>
      </c>
      <c r="F71" s="277">
        <f aca="true" t="shared" si="1" ref="F71:F86">SUM(D71:E71)</f>
        <v>-50547</v>
      </c>
      <c r="I71" s="264"/>
    </row>
    <row r="72" spans="1:9" ht="18" customHeight="1">
      <c r="A72" s="489">
        <v>23</v>
      </c>
      <c r="B72" s="478" t="s">
        <v>8</v>
      </c>
      <c r="C72" s="271" t="s">
        <v>122</v>
      </c>
      <c r="D72" s="377">
        <v>87864</v>
      </c>
      <c r="E72" s="280">
        <f>'May 12(2)'!AG29</f>
        <v>101081</v>
      </c>
      <c r="F72" s="273">
        <f t="shared" si="1"/>
        <v>188945</v>
      </c>
      <c r="I72" s="264"/>
    </row>
    <row r="73" spans="1:9" ht="18" customHeight="1">
      <c r="A73" s="490"/>
      <c r="B73" s="479"/>
      <c r="C73" s="257" t="s">
        <v>123</v>
      </c>
      <c r="D73" s="378">
        <v>51746</v>
      </c>
      <c r="E73" s="261">
        <f>'May 12(2)'!U29</f>
        <v>73496</v>
      </c>
      <c r="F73" s="274">
        <f t="shared" si="1"/>
        <v>125242</v>
      </c>
      <c r="I73" s="264"/>
    </row>
    <row r="74" spans="1:9" ht="18" customHeight="1" thickBot="1">
      <c r="A74" s="491"/>
      <c r="B74" s="480"/>
      <c r="C74" s="275" t="s">
        <v>124</v>
      </c>
      <c r="D74" s="379">
        <v>36118</v>
      </c>
      <c r="E74" s="276">
        <f>E72-E73</f>
        <v>27585</v>
      </c>
      <c r="F74" s="277">
        <f t="shared" si="1"/>
        <v>63703</v>
      </c>
      <c r="I74" s="264"/>
    </row>
    <row r="75" spans="1:9" ht="18" customHeight="1">
      <c r="A75" s="489">
        <v>24</v>
      </c>
      <c r="B75" s="478" t="s">
        <v>40</v>
      </c>
      <c r="C75" s="271" t="s">
        <v>122</v>
      </c>
      <c r="D75" s="377">
        <v>24309</v>
      </c>
      <c r="E75" s="280">
        <f>'May 12(2)'!AG30</f>
        <v>16538</v>
      </c>
      <c r="F75" s="273">
        <f t="shared" si="1"/>
        <v>40847</v>
      </c>
      <c r="I75" s="264"/>
    </row>
    <row r="76" spans="1:9" ht="18" customHeight="1">
      <c r="A76" s="490"/>
      <c r="B76" s="479"/>
      <c r="C76" s="257" t="s">
        <v>123</v>
      </c>
      <c r="D76" s="378">
        <v>2803</v>
      </c>
      <c r="E76" s="261">
        <f>'May 12(2)'!U30</f>
        <v>13904</v>
      </c>
      <c r="F76" s="274">
        <f t="shared" si="1"/>
        <v>16707</v>
      </c>
      <c r="I76" s="264"/>
    </row>
    <row r="77" spans="1:9" ht="18" customHeight="1" thickBot="1">
      <c r="A77" s="491"/>
      <c r="B77" s="480"/>
      <c r="C77" s="275" t="s">
        <v>124</v>
      </c>
      <c r="D77" s="379">
        <v>21506</v>
      </c>
      <c r="E77" s="276">
        <f>E75-E76</f>
        <v>2634</v>
      </c>
      <c r="F77" s="277">
        <f t="shared" si="1"/>
        <v>24140</v>
      </c>
      <c r="I77" s="264"/>
    </row>
    <row r="78" spans="1:9" ht="18" customHeight="1">
      <c r="A78" s="489">
        <v>25</v>
      </c>
      <c r="B78" s="478" t="s">
        <v>9</v>
      </c>
      <c r="C78" s="271" t="s">
        <v>122</v>
      </c>
      <c r="D78" s="377">
        <v>11683</v>
      </c>
      <c r="E78" s="280">
        <f>'May 12(2)'!AG31</f>
        <v>15663</v>
      </c>
      <c r="F78" s="273">
        <f t="shared" si="1"/>
        <v>27346</v>
      </c>
      <c r="I78" s="264"/>
    </row>
    <row r="79" spans="1:9" ht="18" customHeight="1">
      <c r="A79" s="490"/>
      <c r="B79" s="479"/>
      <c r="C79" s="257" t="s">
        <v>123</v>
      </c>
      <c r="D79" s="378">
        <v>32162</v>
      </c>
      <c r="E79" s="261">
        <f>'May 12(2)'!U31</f>
        <v>5198</v>
      </c>
      <c r="F79" s="274">
        <f t="shared" si="1"/>
        <v>37360</v>
      </c>
      <c r="H79" s="264"/>
      <c r="I79" s="264"/>
    </row>
    <row r="80" spans="1:9" ht="18" customHeight="1" thickBot="1">
      <c r="A80" s="491"/>
      <c r="B80" s="480"/>
      <c r="C80" s="275" t="s">
        <v>124</v>
      </c>
      <c r="D80" s="379">
        <v>-20479</v>
      </c>
      <c r="E80" s="276">
        <f>E78-E79</f>
        <v>10465</v>
      </c>
      <c r="F80" s="277">
        <f t="shared" si="1"/>
        <v>-10014</v>
      </c>
      <c r="I80" s="264"/>
    </row>
    <row r="81" spans="1:9" ht="18" customHeight="1">
      <c r="A81" s="489">
        <v>26</v>
      </c>
      <c r="B81" s="478" t="s">
        <v>10</v>
      </c>
      <c r="C81" s="271" t="s">
        <v>122</v>
      </c>
      <c r="D81" s="377">
        <v>4032</v>
      </c>
      <c r="E81" s="280">
        <f>'May 12(2)'!AG32</f>
        <v>4530</v>
      </c>
      <c r="F81" s="273">
        <f t="shared" si="1"/>
        <v>8562</v>
      </c>
      <c r="H81" s="264"/>
      <c r="I81" s="264"/>
    </row>
    <row r="82" spans="1:9" ht="18" customHeight="1">
      <c r="A82" s="490"/>
      <c r="B82" s="479"/>
      <c r="C82" s="257" t="s">
        <v>123</v>
      </c>
      <c r="D82" s="378">
        <v>902</v>
      </c>
      <c r="E82" s="261">
        <f>'May 12(2)'!U32</f>
        <v>921</v>
      </c>
      <c r="F82" s="274">
        <f t="shared" si="1"/>
        <v>1823</v>
      </c>
      <c r="H82" s="264"/>
      <c r="I82" s="358"/>
    </row>
    <row r="83" spans="1:9" ht="18" customHeight="1" thickBot="1">
      <c r="A83" s="491"/>
      <c r="B83" s="480"/>
      <c r="C83" s="275" t="s">
        <v>124</v>
      </c>
      <c r="D83" s="379">
        <v>3130</v>
      </c>
      <c r="E83" s="276">
        <f>E81-E82</f>
        <v>3609</v>
      </c>
      <c r="F83" s="277">
        <f t="shared" si="1"/>
        <v>6739</v>
      </c>
      <c r="H83" s="264"/>
      <c r="I83" s="264"/>
    </row>
    <row r="84" spans="1:6" s="265" customFormat="1" ht="18" customHeight="1">
      <c r="A84" s="494"/>
      <c r="B84" s="481" t="s">
        <v>11</v>
      </c>
      <c r="C84" s="271" t="s">
        <v>122</v>
      </c>
      <c r="D84" s="380">
        <v>1809007</v>
      </c>
      <c r="E84" s="382">
        <f>E6+E9+E12+E15+E18+E21+E24+E27+E30+E33+E36+E39+E42+E45+E48+E51+E54+E57+E60+E63+E66+E69+E72+E75+E78+E81</f>
        <v>1371409</v>
      </c>
      <c r="F84" s="273">
        <f t="shared" si="1"/>
        <v>3180416</v>
      </c>
    </row>
    <row r="85" spans="1:6" s="265" customFormat="1" ht="18" customHeight="1">
      <c r="A85" s="495"/>
      <c r="B85" s="482"/>
      <c r="C85" s="257" t="s">
        <v>123</v>
      </c>
      <c r="D85" s="137">
        <v>2167773</v>
      </c>
      <c r="E85" s="138">
        <f>E7+E10+E13+E16+E19+E22+E25+E28+E31+E34+E37+E40+E43+E46+E49+E52+E55+E58+E61+E64+E67+E70+E73+E76+E79+E82</f>
        <v>1393928</v>
      </c>
      <c r="F85" s="274">
        <f t="shared" si="1"/>
        <v>3561701</v>
      </c>
    </row>
    <row r="86" spans="1:6" s="265" customFormat="1" ht="18" customHeight="1" thickBot="1">
      <c r="A86" s="496"/>
      <c r="B86" s="483"/>
      <c r="C86" s="275" t="s">
        <v>124</v>
      </c>
      <c r="D86" s="381">
        <v>-358766</v>
      </c>
      <c r="E86" s="383">
        <f>E84-E85</f>
        <v>-22519</v>
      </c>
      <c r="F86" s="277">
        <f t="shared" si="1"/>
        <v>-381285</v>
      </c>
    </row>
    <row r="87" spans="1:6" ht="15">
      <c r="A87" s="472" t="s">
        <v>149</v>
      </c>
      <c r="B87" s="473"/>
      <c r="C87" s="278" t="s">
        <v>122</v>
      </c>
      <c r="D87" s="380">
        <v>1.809007</v>
      </c>
      <c r="E87" s="296">
        <f aca="true" t="shared" si="2" ref="E87:F89">E84/1000000</f>
        <v>1.371409</v>
      </c>
      <c r="F87" s="297">
        <f t="shared" si="2"/>
        <v>3.180416</v>
      </c>
    </row>
    <row r="88" spans="1:6" ht="15">
      <c r="A88" s="474"/>
      <c r="B88" s="475"/>
      <c r="C88" s="259" t="s">
        <v>123</v>
      </c>
      <c r="D88" s="137">
        <v>2.167773</v>
      </c>
      <c r="E88" s="184">
        <f t="shared" si="2"/>
        <v>1.393928</v>
      </c>
      <c r="F88" s="298">
        <f t="shared" si="2"/>
        <v>3.561701</v>
      </c>
    </row>
    <row r="89" spans="1:6" ht="15.75" thickBot="1">
      <c r="A89" s="476"/>
      <c r="B89" s="477"/>
      <c r="C89" s="279" t="s">
        <v>124</v>
      </c>
      <c r="D89" s="381">
        <v>-0.358766</v>
      </c>
      <c r="E89" s="299">
        <f t="shared" si="2"/>
        <v>-0.022519</v>
      </c>
      <c r="F89" s="300">
        <f t="shared" si="2"/>
        <v>-0.381285</v>
      </c>
    </row>
    <row r="90" spans="1:6" ht="15">
      <c r="A90" s="134"/>
      <c r="E90" s="134"/>
      <c r="F90" s="134"/>
    </row>
    <row r="91" ht="15" customHeight="1"/>
    <row r="92" ht="15" customHeight="1"/>
    <row r="93" spans="5:6" ht="15" customHeight="1">
      <c r="E93" s="146"/>
      <c r="F93" s="263"/>
    </row>
    <row r="94" spans="5:6" ht="15" customHeight="1">
      <c r="E94" s="146"/>
      <c r="F94" s="263"/>
    </row>
    <row r="95" spans="2:6" ht="15" customHeight="1">
      <c r="B95" s="263"/>
      <c r="C95" s="263"/>
      <c r="D95" s="263"/>
      <c r="E95" s="146"/>
      <c r="F95" s="263"/>
    </row>
    <row r="96" spans="2:6" ht="15">
      <c r="B96" s="263"/>
      <c r="C96" s="263"/>
      <c r="D96" s="263"/>
      <c r="E96" s="263"/>
      <c r="F96" s="263"/>
    </row>
    <row r="97" spans="2:6" ht="15">
      <c r="B97" s="263"/>
      <c r="C97" s="263"/>
      <c r="D97" s="263"/>
      <c r="E97" s="263"/>
      <c r="F97" s="263"/>
    </row>
    <row r="98" spans="2:6" ht="15">
      <c r="B98" s="263"/>
      <c r="C98" s="263"/>
      <c r="D98" s="263"/>
      <c r="E98" s="263"/>
      <c r="F98" s="263"/>
    </row>
    <row r="99" spans="2:6" ht="15">
      <c r="B99" s="263"/>
      <c r="C99" s="263"/>
      <c r="D99" s="263"/>
      <c r="E99" s="263"/>
      <c r="F99" s="263"/>
    </row>
    <row r="100" spans="2:6" ht="15">
      <c r="B100" s="263"/>
      <c r="C100" s="263"/>
      <c r="D100" s="263"/>
      <c r="E100" s="263"/>
      <c r="F100" s="263"/>
    </row>
    <row r="101" spans="2:6" ht="15">
      <c r="B101" s="263"/>
      <c r="C101" s="263"/>
      <c r="D101" s="263"/>
      <c r="E101" s="263"/>
      <c r="F101" s="263"/>
    </row>
    <row r="102" spans="5:6" ht="15">
      <c r="E102" s="263"/>
      <c r="F102" s="263"/>
    </row>
  </sheetData>
  <sheetProtection/>
  <mergeCells count="55">
    <mergeCell ref="A54:A56"/>
    <mergeCell ref="A57:A59"/>
    <mergeCell ref="A78:A80"/>
    <mergeCell ref="A81:A83"/>
    <mergeCell ref="A60:A62"/>
    <mergeCell ref="A63:A65"/>
    <mergeCell ref="A66:A68"/>
    <mergeCell ref="A69:A71"/>
    <mergeCell ref="A72:A74"/>
    <mergeCell ref="A75:A77"/>
    <mergeCell ref="A42:A44"/>
    <mergeCell ref="A45:A47"/>
    <mergeCell ref="A48:A50"/>
    <mergeCell ref="A51:A53"/>
    <mergeCell ref="A30:A32"/>
    <mergeCell ref="A33:A35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  <mergeCell ref="B36:B38"/>
    <mergeCell ref="B39:B41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72:B74"/>
    <mergeCell ref="B75:B77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A87:B89"/>
    <mergeCell ref="B78:B80"/>
    <mergeCell ref="B81:B83"/>
    <mergeCell ref="B84:B86"/>
    <mergeCell ref="A84:A86"/>
  </mergeCells>
  <conditionalFormatting sqref="Q6:Q83">
    <cfRule type="top10" priority="3" dxfId="3" stopIfTrue="1" rank="5" bottom="1"/>
    <cfRule type="top10" priority="4" dxfId="0" stopIfTrue="1" rank="5"/>
  </conditionalFormatting>
  <conditionalFormatting sqref="N6:N83">
    <cfRule type="top10" priority="1" dxfId="1" stopIfTrue="1" rank="10"/>
    <cfRule type="top10" priority="2" dxfId="0" stopIfTrue="1" rank="5"/>
  </conditionalFormatting>
  <printOptions/>
  <pageMargins left="0.7086614173228347" right="0.07874015748031496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6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64">
      <selection activeCell="D96" sqref="D96"/>
    </sheetView>
  </sheetViews>
  <sheetFormatPr defaultColWidth="7.8515625" defaultRowHeight="12.75"/>
  <cols>
    <col min="1" max="1" width="4.8515625" style="142" customWidth="1"/>
    <col min="2" max="2" width="19.00390625" style="142" customWidth="1"/>
    <col min="3" max="3" width="18.140625" style="142" customWidth="1"/>
    <col min="4" max="4" width="22.140625" style="142" customWidth="1"/>
    <col min="5" max="5" width="23.57421875" style="142" customWidth="1"/>
    <col min="6" max="6" width="29.8515625" style="265" customWidth="1"/>
    <col min="7" max="7" width="7.8515625" style="142" customWidth="1"/>
    <col min="8" max="8" width="11.421875" style="142" customWidth="1"/>
    <col min="9" max="12" width="7.8515625" style="142" customWidth="1"/>
    <col min="13" max="16384" width="7.8515625" style="142" customWidth="1"/>
  </cols>
  <sheetData>
    <row r="1" spans="2:6" ht="18" customHeight="1">
      <c r="B1" s="134"/>
      <c r="C1" s="134"/>
      <c r="D1" s="134"/>
      <c r="E1" s="499" t="s">
        <v>137</v>
      </c>
      <c r="F1" s="499"/>
    </row>
    <row r="2" spans="1:6" ht="18" customHeight="1">
      <c r="A2" s="262"/>
      <c r="B2" s="260"/>
      <c r="C2" s="260"/>
      <c r="D2" s="260"/>
      <c r="E2" s="260"/>
      <c r="F2" s="260"/>
    </row>
    <row r="3" spans="1:6" ht="16.5" customHeight="1">
      <c r="A3" s="133" t="s">
        <v>194</v>
      </c>
      <c r="C3" s="133"/>
      <c r="D3" s="133"/>
      <c r="E3" s="134"/>
      <c r="F3" s="134"/>
    </row>
    <row r="4" spans="1:6" ht="9" customHeight="1" thickBot="1">
      <c r="A4" s="134"/>
      <c r="B4" s="134"/>
      <c r="C4" s="134"/>
      <c r="D4" s="134"/>
      <c r="E4" s="134"/>
      <c r="F4" s="134"/>
    </row>
    <row r="5" spans="1:8" ht="31.5" customHeight="1" thickBot="1">
      <c r="A5" s="268" t="s">
        <v>18</v>
      </c>
      <c r="B5" s="269" t="s">
        <v>120</v>
      </c>
      <c r="C5" s="269" t="s">
        <v>121</v>
      </c>
      <c r="D5" s="311">
        <v>41000</v>
      </c>
      <c r="E5" s="311">
        <v>41030</v>
      </c>
      <c r="F5" s="270" t="s">
        <v>2</v>
      </c>
      <c r="H5" s="284"/>
    </row>
    <row r="6" spans="1:6" ht="18" customHeight="1">
      <c r="A6" s="486">
        <v>1</v>
      </c>
      <c r="B6" s="478" t="s">
        <v>39</v>
      </c>
      <c r="C6" s="271" t="s">
        <v>122</v>
      </c>
      <c r="D6" s="377">
        <v>7113</v>
      </c>
      <c r="E6" s="272">
        <f>'WL (8&amp;9)'!E5+'WLL (10&amp;11)'!E5+'Mobile (12&amp;13)'!E6</f>
        <v>6654</v>
      </c>
      <c r="F6" s="273">
        <f>SUM(D6:E6)</f>
        <v>13767</v>
      </c>
    </row>
    <row r="7" spans="1:6" ht="18" customHeight="1">
      <c r="A7" s="487"/>
      <c r="B7" s="479"/>
      <c r="C7" s="257" t="s">
        <v>123</v>
      </c>
      <c r="D7" s="378">
        <v>4904</v>
      </c>
      <c r="E7" s="258">
        <f>'WL (8&amp;9)'!E6+'WLL (10&amp;11)'!E6+'Mobile (12&amp;13)'!E7</f>
        <v>3897</v>
      </c>
      <c r="F7" s="274">
        <f aca="true" t="shared" si="0" ref="F7:F70">SUM(D7:E7)</f>
        <v>8801</v>
      </c>
    </row>
    <row r="8" spans="1:6" ht="18" customHeight="1" thickBot="1">
      <c r="A8" s="488"/>
      <c r="B8" s="480"/>
      <c r="C8" s="275" t="s">
        <v>124</v>
      </c>
      <c r="D8" s="379">
        <v>2209</v>
      </c>
      <c r="E8" s="276">
        <f>E6-E7</f>
        <v>2757</v>
      </c>
      <c r="F8" s="277">
        <f t="shared" si="0"/>
        <v>4966</v>
      </c>
    </row>
    <row r="9" spans="1:6" ht="18" customHeight="1">
      <c r="A9" s="489">
        <v>2</v>
      </c>
      <c r="B9" s="478" t="s">
        <v>65</v>
      </c>
      <c r="C9" s="271" t="s">
        <v>122</v>
      </c>
      <c r="D9" s="377">
        <v>257245</v>
      </c>
      <c r="E9" s="272">
        <f>'WL (8&amp;9)'!E8+'WLL (10&amp;11)'!E8+'Mobile (12&amp;13)'!E9</f>
        <v>204257</v>
      </c>
      <c r="F9" s="273">
        <f t="shared" si="0"/>
        <v>461502</v>
      </c>
    </row>
    <row r="10" spans="1:6" ht="18" customHeight="1">
      <c r="A10" s="490"/>
      <c r="B10" s="479"/>
      <c r="C10" s="257" t="s">
        <v>123</v>
      </c>
      <c r="D10" s="378">
        <v>272901</v>
      </c>
      <c r="E10" s="258">
        <f>'WL (8&amp;9)'!E9+'WLL (10&amp;11)'!E9+'Mobile (12&amp;13)'!E10</f>
        <v>220932</v>
      </c>
      <c r="F10" s="274">
        <f t="shared" si="0"/>
        <v>493833</v>
      </c>
    </row>
    <row r="11" spans="1:6" ht="18" customHeight="1" thickBot="1">
      <c r="A11" s="491"/>
      <c r="B11" s="480"/>
      <c r="C11" s="275" t="s">
        <v>124</v>
      </c>
      <c r="D11" s="379">
        <v>-15656</v>
      </c>
      <c r="E11" s="276">
        <f>E9-E10</f>
        <v>-16675</v>
      </c>
      <c r="F11" s="277">
        <f t="shared" si="0"/>
        <v>-32331</v>
      </c>
    </row>
    <row r="12" spans="1:6" ht="18" customHeight="1">
      <c r="A12" s="489">
        <v>3</v>
      </c>
      <c r="B12" s="478" t="s">
        <v>3</v>
      </c>
      <c r="C12" s="271" t="s">
        <v>122</v>
      </c>
      <c r="D12" s="377">
        <v>58162</v>
      </c>
      <c r="E12" s="272">
        <f>'WL (8&amp;9)'!E11+'WLL (10&amp;11)'!E11+'Mobile (12&amp;13)'!E12</f>
        <v>23695</v>
      </c>
      <c r="F12" s="273">
        <f t="shared" si="0"/>
        <v>81857</v>
      </c>
    </row>
    <row r="13" spans="1:6" ht="18" customHeight="1">
      <c r="A13" s="490"/>
      <c r="B13" s="479"/>
      <c r="C13" s="257" t="s">
        <v>123</v>
      </c>
      <c r="D13" s="378">
        <v>52974</v>
      </c>
      <c r="E13" s="258">
        <f>'WL (8&amp;9)'!E12+'WLL (10&amp;11)'!E12+'Mobile (12&amp;13)'!E13</f>
        <v>50006</v>
      </c>
      <c r="F13" s="274">
        <f t="shared" si="0"/>
        <v>102980</v>
      </c>
    </row>
    <row r="14" spans="1:6" ht="18" customHeight="1" thickBot="1">
      <c r="A14" s="491"/>
      <c r="B14" s="480"/>
      <c r="C14" s="275" t="s">
        <v>124</v>
      </c>
      <c r="D14" s="379">
        <v>5188</v>
      </c>
      <c r="E14" s="276">
        <f>E12-E13</f>
        <v>-26311</v>
      </c>
      <c r="F14" s="277">
        <f t="shared" si="0"/>
        <v>-21123</v>
      </c>
    </row>
    <row r="15" spans="1:6" ht="18" customHeight="1">
      <c r="A15" s="489">
        <v>4</v>
      </c>
      <c r="B15" s="478" t="s">
        <v>31</v>
      </c>
      <c r="C15" s="271" t="s">
        <v>122</v>
      </c>
      <c r="D15" s="377">
        <v>288531</v>
      </c>
      <c r="E15" s="272">
        <f>'WL (8&amp;9)'!E14+'WLL (10&amp;11)'!E14+'Mobile (12&amp;13)'!E15</f>
        <v>93539</v>
      </c>
      <c r="F15" s="273">
        <f t="shared" si="0"/>
        <v>382070</v>
      </c>
    </row>
    <row r="16" spans="1:6" ht="18" customHeight="1">
      <c r="A16" s="490"/>
      <c r="B16" s="479"/>
      <c r="C16" s="257" t="s">
        <v>123</v>
      </c>
      <c r="D16" s="378">
        <v>435150</v>
      </c>
      <c r="E16" s="258">
        <f>'WL (8&amp;9)'!E15+'WLL (10&amp;11)'!E15+'Mobile (12&amp;13)'!E16</f>
        <v>61792</v>
      </c>
      <c r="F16" s="274">
        <f t="shared" si="0"/>
        <v>496942</v>
      </c>
    </row>
    <row r="17" spans="1:6" ht="18" customHeight="1" thickBot="1">
      <c r="A17" s="491"/>
      <c r="B17" s="480"/>
      <c r="C17" s="275" t="s">
        <v>124</v>
      </c>
      <c r="D17" s="379">
        <v>-146619</v>
      </c>
      <c r="E17" s="276">
        <f>E15-E16</f>
        <v>31747</v>
      </c>
      <c r="F17" s="277">
        <f t="shared" si="0"/>
        <v>-114872</v>
      </c>
    </row>
    <row r="18" spans="1:6" ht="18" customHeight="1">
      <c r="A18" s="489">
        <v>5</v>
      </c>
      <c r="B18" s="478" t="s">
        <v>5</v>
      </c>
      <c r="C18" s="271" t="s">
        <v>122</v>
      </c>
      <c r="D18" s="377">
        <v>35743</v>
      </c>
      <c r="E18" s="272">
        <f>'WL (8&amp;9)'!E17+'WLL (10&amp;11)'!E17+'Mobile (12&amp;13)'!E18</f>
        <v>29038</v>
      </c>
      <c r="F18" s="273">
        <f t="shared" si="0"/>
        <v>64781</v>
      </c>
    </row>
    <row r="19" spans="1:8" ht="18" customHeight="1">
      <c r="A19" s="490"/>
      <c r="B19" s="479"/>
      <c r="C19" s="257" t="s">
        <v>123</v>
      </c>
      <c r="D19" s="378">
        <v>4596</v>
      </c>
      <c r="E19" s="258">
        <f>'WL (8&amp;9)'!E18+'WLL (10&amp;11)'!E18+'Mobile (12&amp;13)'!E19</f>
        <v>4978</v>
      </c>
      <c r="F19" s="274">
        <f t="shared" si="0"/>
        <v>9574</v>
      </c>
      <c r="H19" s="264"/>
    </row>
    <row r="20" spans="1:8" ht="18" customHeight="1" thickBot="1">
      <c r="A20" s="491"/>
      <c r="B20" s="480"/>
      <c r="C20" s="275" t="s">
        <v>124</v>
      </c>
      <c r="D20" s="379">
        <v>31147</v>
      </c>
      <c r="E20" s="276">
        <f>E18-E19</f>
        <v>24060</v>
      </c>
      <c r="F20" s="277">
        <f t="shared" si="0"/>
        <v>55207</v>
      </c>
      <c r="H20" s="264"/>
    </row>
    <row r="21" spans="1:8" ht="18" customHeight="1">
      <c r="A21" s="489">
        <v>6</v>
      </c>
      <c r="B21" s="478" t="s">
        <v>32</v>
      </c>
      <c r="C21" s="271" t="s">
        <v>122</v>
      </c>
      <c r="D21" s="377">
        <v>24895</v>
      </c>
      <c r="E21" s="272">
        <f>'WL (8&amp;9)'!E20+'WLL (10&amp;11)'!E20+'Mobile (12&amp;13)'!E21</f>
        <v>8067</v>
      </c>
      <c r="F21" s="273">
        <f t="shared" si="0"/>
        <v>32962</v>
      </c>
      <c r="H21" s="264"/>
    </row>
    <row r="22" spans="1:8" ht="18" customHeight="1">
      <c r="A22" s="490"/>
      <c r="B22" s="479"/>
      <c r="C22" s="257" t="s">
        <v>123</v>
      </c>
      <c r="D22" s="378">
        <v>18044</v>
      </c>
      <c r="E22" s="258">
        <f>'WL (8&amp;9)'!E21+'WLL (10&amp;11)'!E21+'Mobile (12&amp;13)'!E22</f>
        <v>59041</v>
      </c>
      <c r="F22" s="274">
        <f t="shared" si="0"/>
        <v>77085</v>
      </c>
      <c r="H22" s="264"/>
    </row>
    <row r="23" spans="1:8" ht="18" customHeight="1" thickBot="1">
      <c r="A23" s="491"/>
      <c r="B23" s="480"/>
      <c r="C23" s="275" t="s">
        <v>124</v>
      </c>
      <c r="D23" s="379">
        <v>6851</v>
      </c>
      <c r="E23" s="276">
        <f>E21-E22</f>
        <v>-50974</v>
      </c>
      <c r="F23" s="277">
        <f t="shared" si="0"/>
        <v>-44123</v>
      </c>
      <c r="H23" s="264"/>
    </row>
    <row r="24" spans="1:8" ht="18" customHeight="1">
      <c r="A24" s="489">
        <v>7</v>
      </c>
      <c r="B24" s="478" t="s">
        <v>66</v>
      </c>
      <c r="C24" s="271" t="s">
        <v>122</v>
      </c>
      <c r="D24" s="377">
        <v>49573</v>
      </c>
      <c r="E24" s="272">
        <f>'WL (8&amp;9)'!E23+'WLL (10&amp;11)'!E23+'Mobile (12&amp;13)'!E24</f>
        <v>51470</v>
      </c>
      <c r="F24" s="273">
        <f t="shared" si="0"/>
        <v>101043</v>
      </c>
      <c r="H24" s="264"/>
    </row>
    <row r="25" spans="1:8" ht="18" customHeight="1">
      <c r="A25" s="490"/>
      <c r="B25" s="479"/>
      <c r="C25" s="257" t="s">
        <v>123</v>
      </c>
      <c r="D25" s="378">
        <v>49203</v>
      </c>
      <c r="E25" s="258">
        <f>'WL (8&amp;9)'!E24+'WLL (10&amp;11)'!E24+'Mobile (12&amp;13)'!E25</f>
        <v>48653</v>
      </c>
      <c r="F25" s="274">
        <f t="shared" si="0"/>
        <v>97856</v>
      </c>
      <c r="H25" s="264"/>
    </row>
    <row r="26" spans="1:8" ht="18" customHeight="1" thickBot="1">
      <c r="A26" s="491"/>
      <c r="B26" s="480"/>
      <c r="C26" s="275" t="s">
        <v>124</v>
      </c>
      <c r="D26" s="379">
        <v>370</v>
      </c>
      <c r="E26" s="276">
        <f>E24-E25</f>
        <v>2817</v>
      </c>
      <c r="F26" s="277">
        <f t="shared" si="0"/>
        <v>3187</v>
      </c>
      <c r="H26" s="264"/>
    </row>
    <row r="27" spans="1:6" ht="18" customHeight="1">
      <c r="A27" s="489">
        <v>8</v>
      </c>
      <c r="B27" s="478" t="s">
        <v>125</v>
      </c>
      <c r="C27" s="271" t="s">
        <v>122</v>
      </c>
      <c r="D27" s="377">
        <v>22409</v>
      </c>
      <c r="E27" s="272">
        <f>'WL (8&amp;9)'!E26+'WLL (10&amp;11)'!E26+'Mobile (12&amp;13)'!E27</f>
        <v>24799</v>
      </c>
      <c r="F27" s="273">
        <f t="shared" si="0"/>
        <v>47208</v>
      </c>
    </row>
    <row r="28" spans="1:6" ht="18" customHeight="1">
      <c r="A28" s="490"/>
      <c r="B28" s="479"/>
      <c r="C28" s="257" t="s">
        <v>123</v>
      </c>
      <c r="D28" s="378">
        <v>251490</v>
      </c>
      <c r="E28" s="258">
        <f>'WL (8&amp;9)'!E27+'WLL (10&amp;11)'!E27+'Mobile (12&amp;13)'!E28</f>
        <v>14427</v>
      </c>
      <c r="F28" s="274">
        <f t="shared" si="0"/>
        <v>265917</v>
      </c>
    </row>
    <row r="29" spans="1:6" ht="18" customHeight="1" thickBot="1">
      <c r="A29" s="491"/>
      <c r="B29" s="480"/>
      <c r="C29" s="275" t="s">
        <v>124</v>
      </c>
      <c r="D29" s="379">
        <v>-229081</v>
      </c>
      <c r="E29" s="276">
        <f>E27-E28</f>
        <v>10372</v>
      </c>
      <c r="F29" s="277">
        <f t="shared" si="0"/>
        <v>-218709</v>
      </c>
    </row>
    <row r="30" spans="1:8" ht="18" customHeight="1">
      <c r="A30" s="489">
        <v>9</v>
      </c>
      <c r="B30" s="478" t="s">
        <v>33</v>
      </c>
      <c r="C30" s="271" t="s">
        <v>122</v>
      </c>
      <c r="D30" s="377">
        <v>37982</v>
      </c>
      <c r="E30" s="272">
        <f>'WL (8&amp;9)'!E29+'WLL (10&amp;11)'!E29+'Mobile (12&amp;13)'!E30</f>
        <v>45360</v>
      </c>
      <c r="F30" s="273">
        <f t="shared" si="0"/>
        <v>83342</v>
      </c>
      <c r="H30" s="264"/>
    </row>
    <row r="31" spans="1:8" ht="18" customHeight="1">
      <c r="A31" s="490"/>
      <c r="B31" s="479"/>
      <c r="C31" s="257" t="s">
        <v>123</v>
      </c>
      <c r="D31" s="378">
        <v>16118</v>
      </c>
      <c r="E31" s="258">
        <f>'WL (8&amp;9)'!E30+'WLL (10&amp;11)'!E30+'Mobile (12&amp;13)'!E31</f>
        <v>25064</v>
      </c>
      <c r="F31" s="274">
        <f t="shared" si="0"/>
        <v>41182</v>
      </c>
      <c r="H31" s="264"/>
    </row>
    <row r="32" spans="1:8" ht="18" customHeight="1" thickBot="1">
      <c r="A32" s="491"/>
      <c r="B32" s="480"/>
      <c r="C32" s="275" t="s">
        <v>124</v>
      </c>
      <c r="D32" s="379">
        <v>21864</v>
      </c>
      <c r="E32" s="276">
        <f>E30-E31</f>
        <v>20296</v>
      </c>
      <c r="F32" s="277">
        <f t="shared" si="0"/>
        <v>42160</v>
      </c>
      <c r="H32" s="264"/>
    </row>
    <row r="33" spans="1:8" ht="18" customHeight="1">
      <c r="A33" s="489">
        <v>10</v>
      </c>
      <c r="B33" s="478" t="s">
        <v>6</v>
      </c>
      <c r="C33" s="271" t="s">
        <v>122</v>
      </c>
      <c r="D33" s="377">
        <v>73406</v>
      </c>
      <c r="E33" s="272">
        <f>'WL (8&amp;9)'!E32+'WLL (10&amp;11)'!E32+'Mobile (12&amp;13)'!E33</f>
        <v>41980</v>
      </c>
      <c r="F33" s="273">
        <f t="shared" si="0"/>
        <v>115386</v>
      </c>
      <c r="H33" s="264"/>
    </row>
    <row r="34" spans="1:8" ht="18" customHeight="1">
      <c r="A34" s="490"/>
      <c r="B34" s="479"/>
      <c r="C34" s="257" t="s">
        <v>123</v>
      </c>
      <c r="D34" s="378">
        <v>92853</v>
      </c>
      <c r="E34" s="258">
        <f>'WL (8&amp;9)'!E33+'WLL (10&amp;11)'!E33+'Mobile (12&amp;13)'!E34</f>
        <v>64533</v>
      </c>
      <c r="F34" s="274">
        <f t="shared" si="0"/>
        <v>157386</v>
      </c>
      <c r="H34" s="264"/>
    </row>
    <row r="35" spans="1:8" ht="18" customHeight="1" thickBot="1">
      <c r="A35" s="491"/>
      <c r="B35" s="480"/>
      <c r="C35" s="275" t="s">
        <v>124</v>
      </c>
      <c r="D35" s="379">
        <v>-19447</v>
      </c>
      <c r="E35" s="276">
        <f>E33-E34</f>
        <v>-22553</v>
      </c>
      <c r="F35" s="277">
        <f t="shared" si="0"/>
        <v>-42000</v>
      </c>
      <c r="H35" s="264"/>
    </row>
    <row r="36" spans="1:8" ht="18" customHeight="1">
      <c r="A36" s="489">
        <v>11</v>
      </c>
      <c r="B36" s="478" t="s">
        <v>126</v>
      </c>
      <c r="C36" s="271" t="s">
        <v>122</v>
      </c>
      <c r="D36" s="377">
        <v>156398</v>
      </c>
      <c r="E36" s="272">
        <f>'WL (8&amp;9)'!E35+'WLL (10&amp;11)'!E35+'Mobile (12&amp;13)'!E36</f>
        <v>129123</v>
      </c>
      <c r="F36" s="273">
        <f t="shared" si="0"/>
        <v>285521</v>
      </c>
      <c r="H36" s="264"/>
    </row>
    <row r="37" spans="1:8" ht="18" customHeight="1">
      <c r="A37" s="490"/>
      <c r="B37" s="479"/>
      <c r="C37" s="257" t="s">
        <v>123</v>
      </c>
      <c r="D37" s="378">
        <v>164389</v>
      </c>
      <c r="E37" s="258">
        <f>'WL (8&amp;9)'!E36+'WLL (10&amp;11)'!E36+'Mobile (12&amp;13)'!E37</f>
        <v>294782</v>
      </c>
      <c r="F37" s="274">
        <f t="shared" si="0"/>
        <v>459171</v>
      </c>
      <c r="H37" s="264"/>
    </row>
    <row r="38" spans="1:8" ht="18" customHeight="1" thickBot="1">
      <c r="A38" s="491"/>
      <c r="B38" s="480"/>
      <c r="C38" s="275" t="s">
        <v>124</v>
      </c>
      <c r="D38" s="379">
        <v>-7991</v>
      </c>
      <c r="E38" s="276">
        <f>E36-E37</f>
        <v>-165659</v>
      </c>
      <c r="F38" s="277">
        <f t="shared" si="0"/>
        <v>-173650</v>
      </c>
      <c r="H38" s="264"/>
    </row>
    <row r="39" spans="1:8" ht="18" customHeight="1">
      <c r="A39" s="489">
        <v>12</v>
      </c>
      <c r="B39" s="478" t="s">
        <v>35</v>
      </c>
      <c r="C39" s="271" t="s">
        <v>122</v>
      </c>
      <c r="D39" s="377">
        <v>92283</v>
      </c>
      <c r="E39" s="272">
        <f>'WL (8&amp;9)'!E38+'WLL (10&amp;11)'!E38+'Mobile (12&amp;13)'!E39</f>
        <v>88244</v>
      </c>
      <c r="F39" s="273">
        <f t="shared" si="0"/>
        <v>180527</v>
      </c>
      <c r="H39" s="264"/>
    </row>
    <row r="40" spans="1:8" ht="18" customHeight="1">
      <c r="A40" s="490"/>
      <c r="B40" s="479"/>
      <c r="C40" s="257" t="s">
        <v>123</v>
      </c>
      <c r="D40" s="378">
        <v>19826</v>
      </c>
      <c r="E40" s="258">
        <f>'WL (8&amp;9)'!E39+'WLL (10&amp;11)'!E39+'Mobile (12&amp;13)'!E40</f>
        <v>25467</v>
      </c>
      <c r="F40" s="274">
        <f t="shared" si="0"/>
        <v>45293</v>
      </c>
      <c r="H40" s="264"/>
    </row>
    <row r="41" spans="1:8" ht="18" customHeight="1" thickBot="1">
      <c r="A41" s="491"/>
      <c r="B41" s="480"/>
      <c r="C41" s="275" t="s">
        <v>124</v>
      </c>
      <c r="D41" s="379">
        <v>72457</v>
      </c>
      <c r="E41" s="276">
        <f>E39-E40</f>
        <v>62777</v>
      </c>
      <c r="F41" s="277">
        <f t="shared" si="0"/>
        <v>135234</v>
      </c>
      <c r="H41" s="264"/>
    </row>
    <row r="42" spans="1:8" ht="18" customHeight="1">
      <c r="A42" s="489">
        <v>13</v>
      </c>
      <c r="B42" s="478" t="s">
        <v>127</v>
      </c>
      <c r="C42" s="271" t="s">
        <v>122</v>
      </c>
      <c r="D42" s="377">
        <v>69836</v>
      </c>
      <c r="E42" s="272">
        <f>'WL (8&amp;9)'!E41+'WLL (10&amp;11)'!E41+'Mobile (12&amp;13)'!E42</f>
        <v>44809</v>
      </c>
      <c r="F42" s="273">
        <f t="shared" si="0"/>
        <v>114645</v>
      </c>
      <c r="H42" s="264"/>
    </row>
    <row r="43" spans="1:8" ht="18" customHeight="1">
      <c r="A43" s="490"/>
      <c r="B43" s="479"/>
      <c r="C43" s="257" t="s">
        <v>123</v>
      </c>
      <c r="D43" s="378">
        <v>60281</v>
      </c>
      <c r="E43" s="258">
        <f>'WL (8&amp;9)'!E42+'WLL (10&amp;11)'!E42+'Mobile (12&amp;13)'!E43</f>
        <v>126924</v>
      </c>
      <c r="F43" s="274">
        <f t="shared" si="0"/>
        <v>187205</v>
      </c>
      <c r="H43" s="264"/>
    </row>
    <row r="44" spans="1:8" ht="18" customHeight="1" thickBot="1">
      <c r="A44" s="491"/>
      <c r="B44" s="480"/>
      <c r="C44" s="275" t="s">
        <v>124</v>
      </c>
      <c r="D44" s="379">
        <v>9555</v>
      </c>
      <c r="E44" s="276">
        <f>E42-E43</f>
        <v>-82115</v>
      </c>
      <c r="F44" s="277">
        <f t="shared" si="0"/>
        <v>-72560</v>
      </c>
      <c r="H44" s="264"/>
    </row>
    <row r="45" spans="1:8" ht="18" customHeight="1">
      <c r="A45" s="489">
        <v>14</v>
      </c>
      <c r="B45" s="478" t="s">
        <v>36</v>
      </c>
      <c r="C45" s="271" t="s">
        <v>122</v>
      </c>
      <c r="D45" s="377">
        <v>164729</v>
      </c>
      <c r="E45" s="272">
        <f>'WL (8&amp;9)'!E44+'WLL (10&amp;11)'!E44+'Mobile (12&amp;13)'!E45</f>
        <v>295247</v>
      </c>
      <c r="F45" s="273">
        <f t="shared" si="0"/>
        <v>459976</v>
      </c>
      <c r="H45" s="264"/>
    </row>
    <row r="46" spans="1:8" ht="18" customHeight="1">
      <c r="A46" s="490"/>
      <c r="B46" s="479"/>
      <c r="C46" s="257" t="s">
        <v>123</v>
      </c>
      <c r="D46" s="378">
        <v>614079</v>
      </c>
      <c r="E46" s="258">
        <f>'WL (8&amp;9)'!E45+'WLL (10&amp;11)'!E45+'Mobile (12&amp;13)'!E46</f>
        <v>129219</v>
      </c>
      <c r="F46" s="274">
        <f t="shared" si="0"/>
        <v>743298</v>
      </c>
      <c r="H46" s="264"/>
    </row>
    <row r="47" spans="1:8" ht="18" customHeight="1" thickBot="1">
      <c r="A47" s="491"/>
      <c r="B47" s="480"/>
      <c r="C47" s="275" t="s">
        <v>124</v>
      </c>
      <c r="D47" s="379">
        <v>-449350</v>
      </c>
      <c r="E47" s="276">
        <f>E45-E46</f>
        <v>166028</v>
      </c>
      <c r="F47" s="277">
        <f t="shared" si="0"/>
        <v>-283322</v>
      </c>
      <c r="H47" s="264"/>
    </row>
    <row r="48" spans="1:8" ht="18" customHeight="1">
      <c r="A48" s="489">
        <v>15</v>
      </c>
      <c r="B48" s="478" t="s">
        <v>13</v>
      </c>
      <c r="C48" s="271" t="s">
        <v>122</v>
      </c>
      <c r="D48" s="377">
        <v>15451</v>
      </c>
      <c r="E48" s="272">
        <f>'WL (8&amp;9)'!E47+'WLL (10&amp;11)'!E47+'Mobile (12&amp;13)'!E48</f>
        <v>14436</v>
      </c>
      <c r="F48" s="273">
        <f t="shared" si="0"/>
        <v>29887</v>
      </c>
      <c r="H48" s="264"/>
    </row>
    <row r="49" spans="1:6" ht="18" customHeight="1">
      <c r="A49" s="492"/>
      <c r="B49" s="479"/>
      <c r="C49" s="257" t="s">
        <v>123</v>
      </c>
      <c r="D49" s="378">
        <v>1094</v>
      </c>
      <c r="E49" s="258">
        <f>'WL (8&amp;9)'!E48+'WLL (10&amp;11)'!E48+'Mobile (12&amp;13)'!E49</f>
        <v>731</v>
      </c>
      <c r="F49" s="274">
        <f t="shared" si="0"/>
        <v>1825</v>
      </c>
    </row>
    <row r="50" spans="1:6" ht="18" customHeight="1" thickBot="1">
      <c r="A50" s="493"/>
      <c r="B50" s="480"/>
      <c r="C50" s="275" t="s">
        <v>124</v>
      </c>
      <c r="D50" s="379">
        <v>14357</v>
      </c>
      <c r="E50" s="276">
        <f>E48-E49</f>
        <v>13705</v>
      </c>
      <c r="F50" s="277">
        <f t="shared" si="0"/>
        <v>28062</v>
      </c>
    </row>
    <row r="51" spans="1:6" ht="18" customHeight="1">
      <c r="A51" s="489">
        <v>16</v>
      </c>
      <c r="B51" s="478" t="s">
        <v>12</v>
      </c>
      <c r="C51" s="271" t="s">
        <v>122</v>
      </c>
      <c r="D51" s="377">
        <v>21769</v>
      </c>
      <c r="E51" s="272">
        <f>'WL (8&amp;9)'!E50+'WLL (10&amp;11)'!E50+'Mobile (12&amp;13)'!E51</f>
        <v>13075</v>
      </c>
      <c r="F51" s="273">
        <f t="shared" si="0"/>
        <v>34844</v>
      </c>
    </row>
    <row r="52" spans="1:6" ht="18" customHeight="1">
      <c r="A52" s="490"/>
      <c r="B52" s="479"/>
      <c r="C52" s="257" t="s">
        <v>123</v>
      </c>
      <c r="D52" s="378">
        <v>12978</v>
      </c>
      <c r="E52" s="258">
        <f>'WL (8&amp;9)'!E51+'WLL (10&amp;11)'!E51+'Mobile (12&amp;13)'!E52</f>
        <v>8792</v>
      </c>
      <c r="F52" s="274">
        <f t="shared" si="0"/>
        <v>21770</v>
      </c>
    </row>
    <row r="53" spans="1:6" ht="18" customHeight="1" thickBot="1">
      <c r="A53" s="491"/>
      <c r="B53" s="480"/>
      <c r="C53" s="275" t="s">
        <v>124</v>
      </c>
      <c r="D53" s="379">
        <v>8791</v>
      </c>
      <c r="E53" s="276">
        <f>E51-E52</f>
        <v>4283</v>
      </c>
      <c r="F53" s="277">
        <f t="shared" si="0"/>
        <v>13074</v>
      </c>
    </row>
    <row r="54" spans="1:6" ht="18" customHeight="1">
      <c r="A54" s="489">
        <v>17</v>
      </c>
      <c r="B54" s="478" t="s">
        <v>69</v>
      </c>
      <c r="C54" s="271" t="s">
        <v>122</v>
      </c>
      <c r="D54" s="377">
        <v>85128</v>
      </c>
      <c r="E54" s="272">
        <f>'WL (8&amp;9)'!E53+'WLL (10&amp;11)'!E53+'Mobile (12&amp;13)'!E54</f>
        <v>7990</v>
      </c>
      <c r="F54" s="273">
        <f t="shared" si="0"/>
        <v>93118</v>
      </c>
    </row>
    <row r="55" spans="1:6" ht="18" customHeight="1">
      <c r="A55" s="490"/>
      <c r="B55" s="479"/>
      <c r="C55" s="257" t="s">
        <v>123</v>
      </c>
      <c r="D55" s="378">
        <v>126301</v>
      </c>
      <c r="E55" s="258">
        <f>'WL (8&amp;9)'!E54+'WLL (10&amp;11)'!E54+'Mobile (12&amp;13)'!E55</f>
        <v>17654</v>
      </c>
      <c r="F55" s="274">
        <f t="shared" si="0"/>
        <v>143955</v>
      </c>
    </row>
    <row r="56" spans="1:6" ht="18" customHeight="1" thickBot="1">
      <c r="A56" s="491"/>
      <c r="B56" s="480"/>
      <c r="C56" s="275" t="s">
        <v>124</v>
      </c>
      <c r="D56" s="379">
        <v>-41173</v>
      </c>
      <c r="E56" s="276">
        <f>E54-E55</f>
        <v>-9664</v>
      </c>
      <c r="F56" s="277">
        <f t="shared" si="0"/>
        <v>-50837</v>
      </c>
    </row>
    <row r="57" spans="1:6" ht="18" customHeight="1">
      <c r="A57" s="489">
        <v>18</v>
      </c>
      <c r="B57" s="478" t="s">
        <v>37</v>
      </c>
      <c r="C57" s="271" t="s">
        <v>122</v>
      </c>
      <c r="D57" s="377">
        <v>60981</v>
      </c>
      <c r="E57" s="272">
        <f>'WL (8&amp;9)'!E56+'WLL (10&amp;11)'!E56+'Mobile (12&amp;13)'!E57</f>
        <v>56147</v>
      </c>
      <c r="F57" s="273">
        <f t="shared" si="0"/>
        <v>117128</v>
      </c>
    </row>
    <row r="58" spans="1:6" ht="18" customHeight="1">
      <c r="A58" s="490"/>
      <c r="B58" s="479"/>
      <c r="C58" s="257" t="s">
        <v>123</v>
      </c>
      <c r="D58" s="378">
        <v>93966</v>
      </c>
      <c r="E58" s="258">
        <f>'WL (8&amp;9)'!E57+'WLL (10&amp;11)'!E57+'Mobile (12&amp;13)'!E58</f>
        <v>398646</v>
      </c>
      <c r="F58" s="274">
        <f t="shared" si="0"/>
        <v>492612</v>
      </c>
    </row>
    <row r="59" spans="1:6" ht="18" customHeight="1" thickBot="1">
      <c r="A59" s="491"/>
      <c r="B59" s="480"/>
      <c r="C59" s="275" t="s">
        <v>124</v>
      </c>
      <c r="D59" s="379">
        <v>-32985</v>
      </c>
      <c r="E59" s="276">
        <f>E57-E58</f>
        <v>-342499</v>
      </c>
      <c r="F59" s="277">
        <f t="shared" si="0"/>
        <v>-375484</v>
      </c>
    </row>
    <row r="60" spans="1:6" ht="18" customHeight="1">
      <c r="A60" s="489">
        <v>19</v>
      </c>
      <c r="B60" s="478" t="s">
        <v>70</v>
      </c>
      <c r="C60" s="271" t="s">
        <v>122</v>
      </c>
      <c r="D60" s="377">
        <v>114373</v>
      </c>
      <c r="E60" s="272">
        <f>'WL (8&amp;9)'!E59+'WLL (10&amp;11)'!E59+'Mobile (12&amp;13)'!E60</f>
        <v>125806</v>
      </c>
      <c r="F60" s="273">
        <f t="shared" si="0"/>
        <v>240179</v>
      </c>
    </row>
    <row r="61" spans="1:6" ht="18" customHeight="1">
      <c r="A61" s="490"/>
      <c r="B61" s="479"/>
      <c r="C61" s="257" t="s">
        <v>123</v>
      </c>
      <c r="D61" s="378">
        <v>100086</v>
      </c>
      <c r="E61" s="258">
        <f>'WL (8&amp;9)'!E60+'WLL (10&amp;11)'!E60+'Mobile (12&amp;13)'!E61</f>
        <v>147877</v>
      </c>
      <c r="F61" s="274">
        <f t="shared" si="0"/>
        <v>247963</v>
      </c>
    </row>
    <row r="62" spans="1:8" ht="18" customHeight="1" thickBot="1">
      <c r="A62" s="491"/>
      <c r="B62" s="480"/>
      <c r="C62" s="275" t="s">
        <v>124</v>
      </c>
      <c r="D62" s="379">
        <v>14287</v>
      </c>
      <c r="E62" s="276">
        <f>E60-E61</f>
        <v>-22071</v>
      </c>
      <c r="F62" s="277">
        <f t="shared" si="0"/>
        <v>-7784</v>
      </c>
      <c r="H62" s="264"/>
    </row>
    <row r="63" spans="1:8" ht="18" customHeight="1">
      <c r="A63" s="489">
        <v>20</v>
      </c>
      <c r="B63" s="478" t="s">
        <v>71</v>
      </c>
      <c r="C63" s="271" t="s">
        <v>122</v>
      </c>
      <c r="D63" s="377">
        <v>106909</v>
      </c>
      <c r="E63" s="272">
        <f>'WL (8&amp;9)'!E62+'WLL (10&amp;11)'!E62+'Mobile (12&amp;13)'!E63</f>
        <v>95575</v>
      </c>
      <c r="F63" s="273">
        <f t="shared" si="0"/>
        <v>202484</v>
      </c>
      <c r="H63" s="264"/>
    </row>
    <row r="64" spans="1:8" ht="18" customHeight="1">
      <c r="A64" s="490"/>
      <c r="B64" s="479"/>
      <c r="C64" s="257" t="s">
        <v>123</v>
      </c>
      <c r="D64" s="378">
        <v>286865</v>
      </c>
      <c r="E64" s="258">
        <f>'WL (8&amp;9)'!E63+'WLL (10&amp;11)'!E63+'Mobile (12&amp;13)'!E64</f>
        <v>98132</v>
      </c>
      <c r="F64" s="274">
        <f t="shared" si="0"/>
        <v>384997</v>
      </c>
      <c r="H64" s="264"/>
    </row>
    <row r="65" spans="1:8" ht="18" customHeight="1" thickBot="1">
      <c r="A65" s="491"/>
      <c r="B65" s="480"/>
      <c r="C65" s="275" t="s">
        <v>124</v>
      </c>
      <c r="D65" s="379">
        <v>-179956</v>
      </c>
      <c r="E65" s="276">
        <f>E63-E64</f>
        <v>-2557</v>
      </c>
      <c r="F65" s="277">
        <f t="shared" si="0"/>
        <v>-182513</v>
      </c>
      <c r="H65" s="264"/>
    </row>
    <row r="66" spans="1:8" ht="18" customHeight="1">
      <c r="A66" s="489">
        <v>21</v>
      </c>
      <c r="B66" s="478" t="s">
        <v>72</v>
      </c>
      <c r="C66" s="271" t="s">
        <v>122</v>
      </c>
      <c r="D66" s="377">
        <v>27055</v>
      </c>
      <c r="E66" s="272">
        <f>'WL (8&amp;9)'!E65+'WLL (10&amp;11)'!E65+'Mobile (12&amp;13)'!E66</f>
        <v>10388</v>
      </c>
      <c r="F66" s="273">
        <f t="shared" si="0"/>
        <v>37443</v>
      </c>
      <c r="H66" s="264"/>
    </row>
    <row r="67" spans="1:8" ht="18" customHeight="1">
      <c r="A67" s="490"/>
      <c r="B67" s="479"/>
      <c r="C67" s="257" t="s">
        <v>123</v>
      </c>
      <c r="D67" s="378">
        <v>22412</v>
      </c>
      <c r="E67" s="258">
        <f>'WL (8&amp;9)'!E66+'WLL (10&amp;11)'!E66+'Mobile (12&amp;13)'!E67</f>
        <v>17700</v>
      </c>
      <c r="F67" s="274">
        <f t="shared" si="0"/>
        <v>40112</v>
      </c>
      <c r="H67" s="264"/>
    </row>
    <row r="68" spans="1:8" ht="18" customHeight="1" thickBot="1">
      <c r="A68" s="491"/>
      <c r="B68" s="480"/>
      <c r="C68" s="275" t="s">
        <v>124</v>
      </c>
      <c r="D68" s="379">
        <v>4643</v>
      </c>
      <c r="E68" s="276">
        <f>E66-E67</f>
        <v>-7312</v>
      </c>
      <c r="F68" s="277">
        <f t="shared" si="0"/>
        <v>-2669</v>
      </c>
      <c r="H68" s="264"/>
    </row>
    <row r="69" spans="1:8" ht="18" customHeight="1">
      <c r="A69" s="489">
        <v>22</v>
      </c>
      <c r="B69" s="478" t="s">
        <v>7</v>
      </c>
      <c r="C69" s="271" t="s">
        <v>122</v>
      </c>
      <c r="D69" s="377">
        <v>3148</v>
      </c>
      <c r="E69" s="272">
        <f>'WL (8&amp;9)'!E68+'WLL (10&amp;11)'!E68+'Mobile (12&amp;13)'!E69</f>
        <v>8785</v>
      </c>
      <c r="F69" s="273">
        <f t="shared" si="0"/>
        <v>11933</v>
      </c>
      <c r="H69" s="264"/>
    </row>
    <row r="70" spans="1:8" ht="18" customHeight="1">
      <c r="A70" s="490"/>
      <c r="B70" s="479"/>
      <c r="C70" s="257" t="s">
        <v>123</v>
      </c>
      <c r="D70" s="378">
        <v>80871</v>
      </c>
      <c r="E70" s="258">
        <f>'WL (8&amp;9)'!E69+'WLL (10&amp;11)'!E69+'Mobile (12&amp;13)'!E70</f>
        <v>59598</v>
      </c>
      <c r="F70" s="274">
        <f t="shared" si="0"/>
        <v>140469</v>
      </c>
      <c r="H70" s="264"/>
    </row>
    <row r="71" spans="1:8" ht="18" customHeight="1" thickBot="1">
      <c r="A71" s="491"/>
      <c r="B71" s="480"/>
      <c r="C71" s="275" t="s">
        <v>124</v>
      </c>
      <c r="D71" s="379">
        <v>-77723</v>
      </c>
      <c r="E71" s="276">
        <f>E69-E70</f>
        <v>-50813</v>
      </c>
      <c r="F71" s="277">
        <f aca="true" t="shared" si="1" ref="F71:F86">SUM(D71:E71)</f>
        <v>-128536</v>
      </c>
      <c r="H71" s="264"/>
    </row>
    <row r="72" spans="1:8" ht="18" customHeight="1">
      <c r="A72" s="489">
        <v>23</v>
      </c>
      <c r="B72" s="478" t="s">
        <v>8</v>
      </c>
      <c r="C72" s="271" t="s">
        <v>122</v>
      </c>
      <c r="D72" s="377">
        <v>90458</v>
      </c>
      <c r="E72" s="272">
        <f>'WL (8&amp;9)'!E71+'WLL (10&amp;11)'!E71+'Mobile (12&amp;13)'!E72</f>
        <v>104397</v>
      </c>
      <c r="F72" s="273">
        <f t="shared" si="1"/>
        <v>194855</v>
      </c>
      <c r="H72" s="264"/>
    </row>
    <row r="73" spans="1:8" ht="18" customHeight="1">
      <c r="A73" s="490"/>
      <c r="B73" s="479"/>
      <c r="C73" s="257" t="s">
        <v>123</v>
      </c>
      <c r="D73" s="378">
        <v>56170</v>
      </c>
      <c r="E73" s="258">
        <f>'WL (8&amp;9)'!E72+'WLL (10&amp;11)'!E72+'Mobile (12&amp;13)'!E73</f>
        <v>78831</v>
      </c>
      <c r="F73" s="274">
        <f t="shared" si="1"/>
        <v>135001</v>
      </c>
      <c r="H73" s="264"/>
    </row>
    <row r="74" spans="1:8" ht="18" customHeight="1" thickBot="1">
      <c r="A74" s="491"/>
      <c r="B74" s="480"/>
      <c r="C74" s="275" t="s">
        <v>124</v>
      </c>
      <c r="D74" s="379">
        <v>34288</v>
      </c>
      <c r="E74" s="276">
        <f>E72-E73</f>
        <v>25566</v>
      </c>
      <c r="F74" s="277">
        <f t="shared" si="1"/>
        <v>59854</v>
      </c>
      <c r="H74" s="264"/>
    </row>
    <row r="75" spans="1:8" ht="18" customHeight="1">
      <c r="A75" s="489">
        <v>24</v>
      </c>
      <c r="B75" s="478" t="s">
        <v>40</v>
      </c>
      <c r="C75" s="271" t="s">
        <v>122</v>
      </c>
      <c r="D75" s="377">
        <v>40199</v>
      </c>
      <c r="E75" s="272">
        <f>'WL (8&amp;9)'!E74+'WLL (10&amp;11)'!E74+'Mobile (12&amp;13)'!E75</f>
        <v>18494</v>
      </c>
      <c r="F75" s="273">
        <f t="shared" si="1"/>
        <v>58693</v>
      </c>
      <c r="H75" s="264"/>
    </row>
    <row r="76" spans="1:8" ht="18" customHeight="1">
      <c r="A76" s="490"/>
      <c r="B76" s="479"/>
      <c r="C76" s="257" t="s">
        <v>123</v>
      </c>
      <c r="D76" s="378">
        <v>38528</v>
      </c>
      <c r="E76" s="258">
        <f>'WL (8&amp;9)'!E75+'WLL (10&amp;11)'!E75+'Mobile (12&amp;13)'!E76</f>
        <v>41484</v>
      </c>
      <c r="F76" s="274">
        <f t="shared" si="1"/>
        <v>80012</v>
      </c>
      <c r="H76" s="264"/>
    </row>
    <row r="77" spans="1:8" ht="18" customHeight="1" thickBot="1">
      <c r="A77" s="491"/>
      <c r="B77" s="480"/>
      <c r="C77" s="275" t="s">
        <v>124</v>
      </c>
      <c r="D77" s="379">
        <v>1671</v>
      </c>
      <c r="E77" s="276">
        <f>E75-E76</f>
        <v>-22990</v>
      </c>
      <c r="F77" s="277">
        <f t="shared" si="1"/>
        <v>-21319</v>
      </c>
      <c r="H77" s="264"/>
    </row>
    <row r="78" spans="1:8" ht="18" customHeight="1">
      <c r="A78" s="489">
        <v>25</v>
      </c>
      <c r="B78" s="478" t="s">
        <v>9</v>
      </c>
      <c r="C78" s="271" t="s">
        <v>122</v>
      </c>
      <c r="D78" s="377">
        <v>13932</v>
      </c>
      <c r="E78" s="272">
        <f>'WL (8&amp;9)'!E77+'WLL (10&amp;11)'!E77+'Mobile (12&amp;13)'!E78</f>
        <v>20687</v>
      </c>
      <c r="F78" s="273">
        <f t="shared" si="1"/>
        <v>34619</v>
      </c>
      <c r="H78" s="264"/>
    </row>
    <row r="79" spans="1:8" ht="18" customHeight="1">
      <c r="A79" s="490"/>
      <c r="B79" s="479"/>
      <c r="C79" s="257" t="s">
        <v>123</v>
      </c>
      <c r="D79" s="378">
        <v>45327</v>
      </c>
      <c r="E79" s="258">
        <f>'WL (8&amp;9)'!E78+'WLL (10&amp;11)'!E78+'Mobile (12&amp;13)'!E79</f>
        <v>7261</v>
      </c>
      <c r="F79" s="274">
        <f t="shared" si="1"/>
        <v>52588</v>
      </c>
      <c r="H79" s="264"/>
    </row>
    <row r="80" spans="1:8" ht="18" customHeight="1" thickBot="1">
      <c r="A80" s="491"/>
      <c r="B80" s="480"/>
      <c r="C80" s="275" t="s">
        <v>124</v>
      </c>
      <c r="D80" s="379">
        <v>-31395</v>
      </c>
      <c r="E80" s="276">
        <f>E78-E79</f>
        <v>13426</v>
      </c>
      <c r="F80" s="277">
        <f t="shared" si="1"/>
        <v>-17969</v>
      </c>
      <c r="H80" s="264"/>
    </row>
    <row r="81" spans="1:8" ht="18" customHeight="1">
      <c r="A81" s="489">
        <v>26</v>
      </c>
      <c r="B81" s="478" t="s">
        <v>10</v>
      </c>
      <c r="C81" s="271" t="s">
        <v>122</v>
      </c>
      <c r="D81" s="377">
        <v>8443</v>
      </c>
      <c r="E81" s="272">
        <f>'WL (8&amp;9)'!E80+'WLL (10&amp;11)'!E80+'Mobile (12&amp;13)'!E81</f>
        <v>8817</v>
      </c>
      <c r="F81" s="273">
        <f t="shared" si="1"/>
        <v>17260</v>
      </c>
      <c r="H81" s="264"/>
    </row>
    <row r="82" spans="1:8" ht="18" customHeight="1">
      <c r="A82" s="490"/>
      <c r="B82" s="479"/>
      <c r="C82" s="257" t="s">
        <v>123</v>
      </c>
      <c r="D82" s="378">
        <v>6857</v>
      </c>
      <c r="E82" s="258">
        <f>'WL (8&amp;9)'!E81+'WLL (10&amp;11)'!E81+'Mobile (12&amp;13)'!E82</f>
        <v>10273</v>
      </c>
      <c r="F82" s="274">
        <f t="shared" si="1"/>
        <v>17130</v>
      </c>
      <c r="H82" s="264"/>
    </row>
    <row r="83" spans="1:8" ht="18" customHeight="1" thickBot="1">
      <c r="A83" s="491"/>
      <c r="B83" s="480"/>
      <c r="C83" s="275" t="s">
        <v>124</v>
      </c>
      <c r="D83" s="379">
        <v>1586</v>
      </c>
      <c r="E83" s="276">
        <f>E81-E82</f>
        <v>-1456</v>
      </c>
      <c r="F83" s="277">
        <f t="shared" si="1"/>
        <v>130</v>
      </c>
      <c r="H83" s="264"/>
    </row>
    <row r="84" spans="1:6" s="265" customFormat="1" ht="18" customHeight="1">
      <c r="A84" s="494"/>
      <c r="B84" s="481" t="s">
        <v>11</v>
      </c>
      <c r="C84" s="278" t="s">
        <v>122</v>
      </c>
      <c r="D84" s="380">
        <v>1926151</v>
      </c>
      <c r="E84" s="382">
        <f>E6+E9+E12+E15+E18+E21+E24+E27+E30+E33+E36+E39+E42+E45+E48+E51+E54+E57+E60+E63+E66+E69+E72+E75+E78+E81</f>
        <v>1570879</v>
      </c>
      <c r="F84" s="273">
        <f t="shared" si="1"/>
        <v>3497030</v>
      </c>
    </row>
    <row r="85" spans="1:6" s="265" customFormat="1" ht="18" customHeight="1">
      <c r="A85" s="495"/>
      <c r="B85" s="482"/>
      <c r="C85" s="259" t="s">
        <v>123</v>
      </c>
      <c r="D85" s="137">
        <v>2928263</v>
      </c>
      <c r="E85" s="138">
        <f>E7+E10+E13+E16+E19+E22+E25+E28+E31+E34+E37+E40+E43+E46+E49+E52+E55+E58+E61+E64+E67+E70+E73+E76+E79+E82</f>
        <v>2016694</v>
      </c>
      <c r="F85" s="274">
        <f t="shared" si="1"/>
        <v>4944957</v>
      </c>
    </row>
    <row r="86" spans="1:6" s="265" customFormat="1" ht="18" customHeight="1" thickBot="1">
      <c r="A86" s="496"/>
      <c r="B86" s="483"/>
      <c r="C86" s="279" t="s">
        <v>124</v>
      </c>
      <c r="D86" s="381">
        <v>-1002112</v>
      </c>
      <c r="E86" s="383">
        <f>E84-E85</f>
        <v>-445815</v>
      </c>
      <c r="F86" s="277">
        <f t="shared" si="1"/>
        <v>-1447927</v>
      </c>
    </row>
    <row r="87" spans="1:6" ht="15" customHeight="1">
      <c r="A87" s="472" t="s">
        <v>149</v>
      </c>
      <c r="B87" s="473"/>
      <c r="C87" s="278" t="s">
        <v>122</v>
      </c>
      <c r="D87" s="380">
        <v>1.926151</v>
      </c>
      <c r="E87" s="296">
        <f aca="true" t="shared" si="2" ref="E87:F89">E84/1000000</f>
        <v>1.570879</v>
      </c>
      <c r="F87" s="297">
        <f t="shared" si="2"/>
        <v>3.49703</v>
      </c>
    </row>
    <row r="88" spans="1:6" ht="15">
      <c r="A88" s="474"/>
      <c r="B88" s="475"/>
      <c r="C88" s="259" t="s">
        <v>123</v>
      </c>
      <c r="D88" s="137">
        <v>2.928263</v>
      </c>
      <c r="E88" s="184">
        <f t="shared" si="2"/>
        <v>2.016694</v>
      </c>
      <c r="F88" s="298">
        <f t="shared" si="2"/>
        <v>4.944957</v>
      </c>
    </row>
    <row r="89" spans="1:6" ht="15.75" thickBot="1">
      <c r="A89" s="476"/>
      <c r="B89" s="477"/>
      <c r="C89" s="279" t="s">
        <v>124</v>
      </c>
      <c r="D89" s="381">
        <v>-1.002112</v>
      </c>
      <c r="E89" s="299">
        <f t="shared" si="2"/>
        <v>-0.445815</v>
      </c>
      <c r="F89" s="300">
        <f t="shared" si="2"/>
        <v>-1.447927</v>
      </c>
    </row>
    <row r="90" spans="1:6" ht="15">
      <c r="A90" s="134"/>
      <c r="E90" s="134"/>
      <c r="F90" s="134"/>
    </row>
    <row r="91" ht="15" customHeight="1"/>
    <row r="92" ht="15" customHeight="1"/>
    <row r="93" spans="5:6" ht="15" customHeight="1">
      <c r="E93" s="146"/>
      <c r="F93" s="263"/>
    </row>
    <row r="94" spans="5:6" ht="15" customHeight="1">
      <c r="E94" s="146"/>
      <c r="F94" s="263"/>
    </row>
    <row r="95" spans="2:6" ht="15" customHeight="1">
      <c r="B95" s="263"/>
      <c r="C95" s="263"/>
      <c r="D95" s="263"/>
      <c r="E95" s="146"/>
      <c r="F95" s="263"/>
    </row>
    <row r="96" spans="2:6" ht="15">
      <c r="B96" s="263"/>
      <c r="C96" s="263"/>
      <c r="D96" s="263"/>
      <c r="E96" s="263"/>
      <c r="F96" s="263"/>
    </row>
    <row r="97" spans="2:6" ht="15">
      <c r="B97" s="263"/>
      <c r="C97" s="263"/>
      <c r="D97" s="263"/>
      <c r="E97" s="263"/>
      <c r="F97" s="263"/>
    </row>
    <row r="98" spans="2:6" ht="15">
      <c r="B98" s="263"/>
      <c r="C98" s="263"/>
      <c r="D98" s="263"/>
      <c r="E98" s="263"/>
      <c r="F98" s="263"/>
    </row>
    <row r="99" spans="2:6" ht="15">
      <c r="B99" s="263"/>
      <c r="C99" s="263"/>
      <c r="D99" s="263"/>
      <c r="E99" s="263"/>
      <c r="F99" s="263"/>
    </row>
    <row r="100" spans="2:6" ht="15">
      <c r="B100" s="263"/>
      <c r="C100" s="263"/>
      <c r="D100" s="263"/>
      <c r="E100" s="263"/>
      <c r="F100" s="263"/>
    </row>
    <row r="101" spans="2:6" ht="15">
      <c r="B101" s="263"/>
      <c r="C101" s="263"/>
      <c r="D101" s="263"/>
      <c r="E101" s="263"/>
      <c r="F101" s="263"/>
    </row>
    <row r="102" spans="5:6" ht="15">
      <c r="E102" s="263"/>
      <c r="F102" s="263"/>
    </row>
  </sheetData>
  <sheetProtection/>
  <mergeCells count="56">
    <mergeCell ref="A84:A86"/>
    <mergeCell ref="A60:A62"/>
    <mergeCell ref="A63:A65"/>
    <mergeCell ref="A66:A68"/>
    <mergeCell ref="A69:A71"/>
    <mergeCell ref="A72:A74"/>
    <mergeCell ref="A75:A77"/>
    <mergeCell ref="A54:A56"/>
    <mergeCell ref="A57:A59"/>
    <mergeCell ref="A78:A80"/>
    <mergeCell ref="A81:A83"/>
    <mergeCell ref="A42:A44"/>
    <mergeCell ref="A45:A47"/>
    <mergeCell ref="A48:A50"/>
    <mergeCell ref="A51:A53"/>
    <mergeCell ref="A30:A32"/>
    <mergeCell ref="A33:A35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  <mergeCell ref="B36:B38"/>
    <mergeCell ref="B39:B41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75:B77"/>
    <mergeCell ref="B42:B44"/>
    <mergeCell ref="B45:B47"/>
    <mergeCell ref="B48:B50"/>
    <mergeCell ref="B51:B53"/>
    <mergeCell ref="B54:B56"/>
    <mergeCell ref="B57:B59"/>
    <mergeCell ref="E1:F1"/>
    <mergeCell ref="A87:B89"/>
    <mergeCell ref="B78:B80"/>
    <mergeCell ref="B81:B83"/>
    <mergeCell ref="B84:B86"/>
    <mergeCell ref="B60:B62"/>
    <mergeCell ref="B63:B65"/>
    <mergeCell ref="B66:B68"/>
    <mergeCell ref="B69:B71"/>
    <mergeCell ref="B72:B74"/>
  </mergeCells>
  <conditionalFormatting sqref="P6:P83">
    <cfRule type="top10" priority="3" dxfId="3" stopIfTrue="1" rank="5" bottom="1"/>
    <cfRule type="top10" priority="4" dxfId="0" stopIfTrue="1" rank="5"/>
  </conditionalFormatting>
  <conditionalFormatting sqref="M6:M83">
    <cfRule type="top10" priority="1" dxfId="1" stopIfTrue="1" rank="10"/>
    <cfRule type="top10" priority="2" dxfId="0" stopIfTrue="1" rank="5"/>
  </conditionalFormatting>
  <printOptions/>
  <pageMargins left="0.7086614173228347" right="0.11811023622047245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6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7" width="10.7109375" style="0" customWidth="1"/>
    <col min="18" max="18" width="6.140625" style="0" customWidth="1"/>
  </cols>
  <sheetData>
    <row r="1" spans="1:9" ht="12.75">
      <c r="A1" s="241"/>
      <c r="B1" s="241" t="s">
        <v>106</v>
      </c>
      <c r="D1" s="241"/>
      <c r="E1" s="241" t="s">
        <v>107</v>
      </c>
      <c r="H1" s="241"/>
      <c r="I1" s="241"/>
    </row>
    <row r="2" spans="1:17" ht="12.75">
      <c r="A2" s="241" t="s">
        <v>45</v>
      </c>
      <c r="B2" s="242">
        <v>8.33458</v>
      </c>
      <c r="D2" s="241" t="s">
        <v>45</v>
      </c>
      <c r="E2" s="242">
        <v>-1.96601</v>
      </c>
      <c r="H2" s="241"/>
      <c r="I2" s="242"/>
      <c r="N2">
        <v>-196601</v>
      </c>
      <c r="O2">
        <v>-6599</v>
      </c>
      <c r="P2">
        <v>1036658</v>
      </c>
      <c r="Q2">
        <v>833458</v>
      </c>
    </row>
    <row r="3" spans="1:17" ht="12.75">
      <c r="A3" s="241" t="s">
        <v>46</v>
      </c>
      <c r="B3" s="242">
        <v>2.50433</v>
      </c>
      <c r="D3" s="241" t="s">
        <v>46</v>
      </c>
      <c r="E3" s="242">
        <v>-1.73858</v>
      </c>
      <c r="H3" s="241"/>
      <c r="I3" s="242"/>
      <c r="N3">
        <v>-173858</v>
      </c>
      <c r="O3">
        <v>-24755</v>
      </c>
      <c r="P3">
        <v>449046</v>
      </c>
      <c r="Q3">
        <v>250433</v>
      </c>
    </row>
    <row r="4" spans="1:17" ht="12.75">
      <c r="A4" s="241" t="s">
        <v>47</v>
      </c>
      <c r="B4" s="242">
        <v>5.84634</v>
      </c>
      <c r="D4" s="241" t="s">
        <v>47</v>
      </c>
      <c r="E4" s="242">
        <v>-1.81277</v>
      </c>
      <c r="H4" s="241"/>
      <c r="I4" s="242"/>
      <c r="N4">
        <v>-181277</v>
      </c>
      <c r="O4">
        <v>-134267</v>
      </c>
      <c r="P4">
        <v>900178</v>
      </c>
      <c r="Q4">
        <v>584634</v>
      </c>
    </row>
    <row r="5" spans="1:17" ht="12.75">
      <c r="A5" s="241" t="s">
        <v>48</v>
      </c>
      <c r="B5" s="242">
        <v>14.29754</v>
      </c>
      <c r="D5" s="241" t="s">
        <v>48</v>
      </c>
      <c r="E5" s="242">
        <v>-1.66519</v>
      </c>
      <c r="H5" s="241"/>
      <c r="I5" s="242"/>
      <c r="N5">
        <v>-166519</v>
      </c>
      <c r="O5">
        <v>-37059</v>
      </c>
      <c r="P5">
        <v>1633332</v>
      </c>
      <c r="Q5">
        <v>1429754</v>
      </c>
    </row>
    <row r="6" spans="1:17" ht="12.75">
      <c r="A6" s="243" t="s">
        <v>49</v>
      </c>
      <c r="B6" s="244">
        <v>12.21327</v>
      </c>
      <c r="D6" s="243" t="s">
        <v>49</v>
      </c>
      <c r="E6" s="244">
        <v>-1.22302</v>
      </c>
      <c r="H6" s="243"/>
      <c r="I6" s="244"/>
      <c r="N6">
        <v>-81062</v>
      </c>
      <c r="O6">
        <v>-17059</v>
      </c>
      <c r="P6">
        <v>1151990</v>
      </c>
      <c r="Q6">
        <v>1053869</v>
      </c>
    </row>
    <row r="7" spans="1:13" ht="12.75">
      <c r="A7" s="243" t="s">
        <v>50</v>
      </c>
      <c r="B7" s="244">
        <v>13.9329</v>
      </c>
      <c r="D7" s="243" t="s">
        <v>50</v>
      </c>
      <c r="E7" s="242">
        <v>-0.58905</v>
      </c>
      <c r="H7" s="245"/>
      <c r="J7">
        <v>-58904</v>
      </c>
      <c r="K7">
        <v>140662</v>
      </c>
      <c r="L7">
        <v>1313857</v>
      </c>
      <c r="M7">
        <v>1395615</v>
      </c>
    </row>
    <row r="8" spans="1:8" ht="12.75">
      <c r="A8" s="243" t="s">
        <v>51</v>
      </c>
      <c r="B8" s="244">
        <v>5.48261</v>
      </c>
      <c r="D8" s="243" t="s">
        <v>51</v>
      </c>
      <c r="E8" s="244">
        <v>-1.1981</v>
      </c>
      <c r="H8" s="245"/>
    </row>
    <row r="9" spans="1:8" ht="12.75">
      <c r="A9" s="245"/>
      <c r="B9" s="246"/>
      <c r="D9" s="245"/>
      <c r="E9" s="246"/>
      <c r="H9" s="245"/>
    </row>
    <row r="10" spans="1:12" ht="15.75">
      <c r="A10" s="245"/>
      <c r="B10" s="246"/>
      <c r="D10" s="245"/>
      <c r="E10" s="246"/>
      <c r="H10" s="245"/>
      <c r="I10" s="248" t="s">
        <v>119</v>
      </c>
      <c r="L10" s="248" t="s">
        <v>114</v>
      </c>
    </row>
    <row r="11" spans="1:17" ht="18">
      <c r="A11" s="247" t="s">
        <v>105</v>
      </c>
      <c r="N11">
        <v>-1.25356</v>
      </c>
      <c r="O11">
        <v>-0.07685</v>
      </c>
      <c r="P11">
        <v>13.52271</v>
      </c>
      <c r="Q11">
        <v>12.1923</v>
      </c>
    </row>
    <row r="48" ht="15.75">
      <c r="A48" s="248" t="s">
        <v>129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7" width="10.7109375" style="0" customWidth="1"/>
    <col min="18" max="18" width="6.140625" style="0" customWidth="1"/>
  </cols>
  <sheetData>
    <row r="1" spans="1:9" ht="12.75">
      <c r="A1" s="241"/>
      <c r="B1" s="241" t="s">
        <v>108</v>
      </c>
      <c r="D1" s="241"/>
      <c r="E1" s="241" t="s">
        <v>109</v>
      </c>
      <c r="H1" s="241"/>
      <c r="I1" s="241"/>
    </row>
    <row r="2" spans="1:17" ht="12.75">
      <c r="A2" s="241" t="s">
        <v>45</v>
      </c>
      <c r="B2" s="242">
        <v>-0.06599</v>
      </c>
      <c r="D2" s="241" t="s">
        <v>45</v>
      </c>
      <c r="E2" s="242">
        <v>10.36658</v>
      </c>
      <c r="H2" s="241"/>
      <c r="I2" s="242"/>
      <c r="N2">
        <v>-196601</v>
      </c>
      <c r="O2">
        <v>-0.06599</v>
      </c>
      <c r="P2">
        <v>10.36658</v>
      </c>
      <c r="Q2">
        <v>833458</v>
      </c>
    </row>
    <row r="3" spans="1:17" ht="12.75">
      <c r="A3" s="241" t="s">
        <v>46</v>
      </c>
      <c r="B3" s="242">
        <v>-0.24755</v>
      </c>
      <c r="D3" s="241" t="s">
        <v>46</v>
      </c>
      <c r="E3" s="242">
        <v>4.49046</v>
      </c>
      <c r="H3" s="241"/>
      <c r="I3" s="242"/>
      <c r="N3">
        <v>-173858</v>
      </c>
      <c r="O3">
        <v>-0.24755</v>
      </c>
      <c r="P3">
        <v>4.49046</v>
      </c>
      <c r="Q3">
        <v>250433</v>
      </c>
    </row>
    <row r="4" spans="1:17" ht="12.75">
      <c r="A4" s="241" t="s">
        <v>47</v>
      </c>
      <c r="B4" s="242">
        <v>-1.34267</v>
      </c>
      <c r="D4" s="241" t="s">
        <v>47</v>
      </c>
      <c r="E4" s="242">
        <v>9.00178</v>
      </c>
      <c r="H4" s="241"/>
      <c r="I4" s="242"/>
      <c r="N4">
        <v>-181277</v>
      </c>
      <c r="O4">
        <v>-1.34267</v>
      </c>
      <c r="P4">
        <v>9.00178</v>
      </c>
      <c r="Q4">
        <v>584634</v>
      </c>
    </row>
    <row r="5" spans="1:17" ht="12.75">
      <c r="A5" s="241" t="s">
        <v>48</v>
      </c>
      <c r="B5" s="242">
        <v>-0.37059</v>
      </c>
      <c r="D5" s="241" t="s">
        <v>48</v>
      </c>
      <c r="E5" s="242">
        <v>16.33332</v>
      </c>
      <c r="H5" s="241"/>
      <c r="I5" s="242"/>
      <c r="N5">
        <v>-166519</v>
      </c>
      <c r="O5">
        <v>-0.37059</v>
      </c>
      <c r="P5">
        <v>16.33332</v>
      </c>
      <c r="Q5">
        <v>1429754</v>
      </c>
    </row>
    <row r="6" spans="1:17" ht="12.75">
      <c r="A6" s="243" t="s">
        <v>49</v>
      </c>
      <c r="B6" s="249">
        <v>-0.1066</v>
      </c>
      <c r="D6" s="243" t="s">
        <v>49</v>
      </c>
      <c r="E6" s="244">
        <v>13.54289</v>
      </c>
      <c r="H6" s="243"/>
      <c r="I6" s="244"/>
      <c r="N6">
        <v>-81062</v>
      </c>
      <c r="O6">
        <v>-0.17059</v>
      </c>
      <c r="P6">
        <v>11.5199</v>
      </c>
      <c r="Q6">
        <v>1053869</v>
      </c>
    </row>
    <row r="7" spans="1:9" ht="12.75">
      <c r="A7" s="243" t="s">
        <v>50</v>
      </c>
      <c r="B7" s="244">
        <v>1.33237</v>
      </c>
      <c r="D7" s="243" t="s">
        <v>50</v>
      </c>
      <c r="E7" s="244">
        <v>13.18958</v>
      </c>
      <c r="H7" s="245"/>
      <c r="I7" s="246"/>
    </row>
    <row r="8" spans="1:9" ht="12.75">
      <c r="A8" s="243" t="s">
        <v>51</v>
      </c>
      <c r="B8" s="244">
        <v>0.77322</v>
      </c>
      <c r="D8" s="243" t="s">
        <v>51</v>
      </c>
      <c r="E8" s="244">
        <v>5.90749</v>
      </c>
      <c r="H8" s="245"/>
      <c r="I8" s="246"/>
    </row>
    <row r="9" spans="1:9" ht="12.75">
      <c r="A9" s="245"/>
      <c r="B9" s="246"/>
      <c r="D9" s="245"/>
      <c r="E9" s="246"/>
      <c r="H9" s="245"/>
      <c r="I9" s="246"/>
    </row>
    <row r="10" spans="1:12" ht="15.75">
      <c r="A10" s="245"/>
      <c r="B10" s="246"/>
      <c r="D10" s="245"/>
      <c r="E10" s="246"/>
      <c r="H10" s="245"/>
      <c r="I10" s="248" t="s">
        <v>116</v>
      </c>
      <c r="L10" s="248" t="s">
        <v>115</v>
      </c>
    </row>
    <row r="11" ht="18">
      <c r="A11" s="247" t="s">
        <v>105</v>
      </c>
    </row>
    <row r="48" ht="15.75">
      <c r="A48" s="248" t="s">
        <v>129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I56" sqref="I56"/>
    </sheetView>
  </sheetViews>
  <sheetFormatPr defaultColWidth="9.140625" defaultRowHeight="12.75"/>
  <cols>
    <col min="1" max="17" width="10.7109375" style="0" customWidth="1"/>
    <col min="18" max="18" width="6.140625" style="0" customWidth="1"/>
  </cols>
  <sheetData>
    <row r="1" spans="1:9" ht="12.75">
      <c r="A1" s="241"/>
      <c r="B1" s="241" t="s">
        <v>112</v>
      </c>
      <c r="D1" s="241"/>
      <c r="E1" s="241" t="s">
        <v>113</v>
      </c>
      <c r="H1" s="252"/>
      <c r="I1" s="252"/>
    </row>
    <row r="2" spans="1:9" ht="12.75">
      <c r="A2" s="241" t="s">
        <v>45</v>
      </c>
      <c r="B2" s="244">
        <v>0.05338</v>
      </c>
      <c r="D2" s="241" t="s">
        <v>45</v>
      </c>
      <c r="E2" s="255">
        <v>29161</v>
      </c>
      <c r="H2" s="252"/>
      <c r="I2" s="253"/>
    </row>
    <row r="3" spans="1:9" ht="12.75">
      <c r="A3" s="241" t="s">
        <v>46</v>
      </c>
      <c r="B3" s="244">
        <v>1.4107</v>
      </c>
      <c r="D3" s="241" t="s">
        <v>46</v>
      </c>
      <c r="E3" s="255">
        <v>24760</v>
      </c>
      <c r="H3" s="252"/>
      <c r="I3" s="253"/>
    </row>
    <row r="4" spans="1:9" ht="12.75">
      <c r="A4" s="241" t="s">
        <v>47</v>
      </c>
      <c r="B4" s="244">
        <v>1.591</v>
      </c>
      <c r="D4" s="241" t="s">
        <v>47</v>
      </c>
      <c r="E4" s="255">
        <v>24439</v>
      </c>
      <c r="H4" s="252"/>
      <c r="I4" s="253"/>
    </row>
    <row r="5" spans="1:9" ht="12.75">
      <c r="A5" s="241" t="s">
        <v>48</v>
      </c>
      <c r="B5" s="244">
        <v>1.66766</v>
      </c>
      <c r="D5" s="241" t="s">
        <v>48</v>
      </c>
      <c r="E5" s="255">
        <v>16556</v>
      </c>
      <c r="H5" s="252"/>
      <c r="I5" s="253"/>
    </row>
    <row r="6" spans="1:9" ht="12.75">
      <c r="A6" s="243" t="s">
        <v>49</v>
      </c>
      <c r="B6" s="244">
        <v>1.43187</v>
      </c>
      <c r="D6" s="243" t="s">
        <v>49</v>
      </c>
      <c r="E6" s="255">
        <v>25460</v>
      </c>
      <c r="H6" s="245"/>
      <c r="I6" s="246"/>
    </row>
    <row r="7" spans="1:8" ht="12.75">
      <c r="A7" s="243" t="s">
        <v>50</v>
      </c>
      <c r="B7" s="254">
        <v>1.32855</v>
      </c>
      <c r="D7" s="243" t="s">
        <v>50</v>
      </c>
      <c r="E7" s="255">
        <v>14098</v>
      </c>
      <c r="H7" s="245"/>
    </row>
    <row r="8" spans="1:8" ht="12.75">
      <c r="A8" s="243" t="s">
        <v>51</v>
      </c>
      <c r="B8" s="244">
        <v>0.75924</v>
      </c>
      <c r="D8" s="243" t="s">
        <v>51</v>
      </c>
      <c r="E8" s="255">
        <v>14098</v>
      </c>
      <c r="H8" s="245"/>
    </row>
    <row r="9" spans="1:8" ht="12.75">
      <c r="A9" s="245"/>
      <c r="B9" s="266"/>
      <c r="D9" s="245"/>
      <c r="E9" s="267"/>
      <c r="H9" s="245"/>
    </row>
    <row r="10" spans="1:8" ht="12.75">
      <c r="A10" s="245"/>
      <c r="B10" s="246"/>
      <c r="D10" s="245"/>
      <c r="E10" s="256"/>
      <c r="H10" s="245"/>
    </row>
    <row r="11" spans="1:12" ht="15.75">
      <c r="A11" s="245"/>
      <c r="B11" s="246"/>
      <c r="D11" s="245"/>
      <c r="E11" s="256"/>
      <c r="H11" s="245"/>
      <c r="I11" s="248" t="s">
        <v>118</v>
      </c>
      <c r="L11" s="248" t="s">
        <v>117</v>
      </c>
    </row>
    <row r="12" ht="18">
      <c r="A12" s="247" t="s">
        <v>105</v>
      </c>
    </row>
    <row r="49" ht="15.75">
      <c r="A49" s="248" t="s">
        <v>111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A16" sqref="A16"/>
    </sheetView>
  </sheetViews>
  <sheetFormatPr defaultColWidth="9.140625" defaultRowHeight="12.75"/>
  <sheetData>
    <row r="4" spans="1:2" ht="12.75">
      <c r="A4">
        <v>666337</v>
      </c>
      <c r="B4">
        <v>706862</v>
      </c>
    </row>
    <row r="5" spans="1:2" ht="12.75">
      <c r="A5">
        <v>135120</v>
      </c>
      <c r="B5">
        <v>115747</v>
      </c>
    </row>
    <row r="6" spans="1:2" ht="12.75">
      <c r="A6" s="319">
        <f>SUM(A4:A5)</f>
        <v>801457</v>
      </c>
      <c r="B6" s="319">
        <f>SUM(B4:B5)</f>
        <v>822609</v>
      </c>
    </row>
    <row r="7" spans="1:2" ht="12.75">
      <c r="A7" s="319">
        <f>A8+A9+A10+A11+A12</f>
        <v>763928</v>
      </c>
      <c r="B7" s="319">
        <f>B8+B9+B10+B11+B12</f>
        <v>788856</v>
      </c>
    </row>
    <row r="8" spans="1:2" ht="12.75">
      <c r="A8">
        <v>286107</v>
      </c>
      <c r="B8">
        <v>228419</v>
      </c>
    </row>
    <row r="9" spans="1:2" ht="12.75">
      <c r="A9">
        <v>198981</v>
      </c>
      <c r="B9">
        <v>269501</v>
      </c>
    </row>
    <row r="10" spans="1:2" ht="12.75">
      <c r="A10">
        <v>57587</v>
      </c>
      <c r="B10">
        <v>68195</v>
      </c>
    </row>
    <row r="11" spans="1:2" ht="12.75">
      <c r="A11">
        <v>9809</v>
      </c>
      <c r="B11">
        <v>9827</v>
      </c>
    </row>
    <row r="12" spans="1:2" ht="12.75">
      <c r="A12">
        <v>211444</v>
      </c>
      <c r="B12">
        <v>212914</v>
      </c>
    </row>
    <row r="13" spans="1:2" ht="12.75">
      <c r="A13" s="319">
        <f>A6-A7</f>
        <v>37529</v>
      </c>
      <c r="B13" s="319">
        <f>B6-B7</f>
        <v>33753</v>
      </c>
    </row>
    <row r="14" spans="1:2" ht="12.75">
      <c r="A14">
        <v>-278</v>
      </c>
      <c r="B14">
        <v>-1590</v>
      </c>
    </row>
    <row r="15" spans="1:2" ht="12.75">
      <c r="A15">
        <f>SUM(A13:A14)</f>
        <v>37251</v>
      </c>
      <c r="B15">
        <f>SUM(B13:B14)</f>
        <v>32163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3"/>
  <sheetViews>
    <sheetView workbookViewId="0" topLeftCell="A1">
      <pane xSplit="2" ySplit="6" topLeftCell="S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E7" sqref="AE7"/>
    </sheetView>
  </sheetViews>
  <sheetFormatPr defaultColWidth="7.8515625" defaultRowHeight="12.75"/>
  <cols>
    <col min="1" max="1" width="4.421875" style="4" customWidth="1"/>
    <col min="2" max="2" width="12.28125" style="4" customWidth="1"/>
    <col min="3" max="18" width="12.28125" style="4" hidden="1" customWidth="1"/>
    <col min="19" max="19" width="9.8515625" style="4" customWidth="1"/>
    <col min="20" max="20" width="9.140625" style="4" customWidth="1"/>
    <col min="21" max="21" width="10.7109375" style="4" customWidth="1"/>
    <col min="22" max="22" width="12.28125" style="4" customWidth="1"/>
    <col min="23" max="23" width="11.140625" style="4" customWidth="1"/>
    <col min="24" max="24" width="11.00390625" style="4" customWidth="1"/>
    <col min="25" max="25" width="11.421875" style="4" customWidth="1"/>
    <col min="26" max="26" width="12.00390625" style="4" customWidth="1"/>
    <col min="27" max="30" width="9.7109375" style="4" customWidth="1"/>
    <col min="31" max="31" width="9.28125" style="4" customWidth="1"/>
    <col min="32" max="32" width="9.8515625" style="4" customWidth="1"/>
    <col min="33" max="36" width="11.28125" style="4" customWidth="1"/>
    <col min="37" max="38" width="11.7109375" style="4" customWidth="1"/>
    <col min="39" max="39" width="11.421875" style="4" customWidth="1"/>
    <col min="40" max="40" width="5.57421875" style="4" customWidth="1"/>
    <col min="41" max="41" width="4.57421875" style="4" customWidth="1"/>
    <col min="42" max="42" width="7.8515625" style="4" customWidth="1"/>
    <col min="43" max="43" width="11.421875" style="4" bestFit="1" customWidth="1"/>
    <col min="44" max="44" width="10.7109375" style="4" customWidth="1"/>
    <col min="45" max="45" width="11.421875" style="4" bestFit="1" customWidth="1"/>
    <col min="46" max="46" width="12.00390625" style="4" customWidth="1"/>
    <col min="47" max="48" width="10.28125" style="4" customWidth="1"/>
    <col min="49" max="49" width="11.57421875" style="4" customWidth="1"/>
    <col min="50" max="50" width="10.28125" style="4" customWidth="1"/>
    <col min="51" max="51" width="11.28125" style="4" customWidth="1"/>
    <col min="52" max="52" width="13.57421875" style="4" customWidth="1"/>
    <col min="53" max="58" width="7.8515625" style="4" customWidth="1"/>
    <col min="59" max="59" width="13.7109375" style="4" customWidth="1"/>
    <col min="60" max="16384" width="7.8515625" style="4" customWidth="1"/>
  </cols>
  <sheetData>
    <row r="1" spans="1:38" ht="18" customHeight="1">
      <c r="A1" s="5"/>
      <c r="B1" s="5"/>
      <c r="C1" s="5"/>
      <c r="D1" s="5"/>
      <c r="E1" s="5"/>
      <c r="F1" s="5"/>
      <c r="G1" s="5"/>
      <c r="H1" s="5"/>
      <c r="I1" s="5"/>
      <c r="J1" s="169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69"/>
      <c r="X1" s="169"/>
      <c r="Y1" s="5"/>
      <c r="Z1" s="5"/>
      <c r="AB1" s="17"/>
      <c r="AE1" s="1" t="str">
        <f>'May 12(1)'!S1</f>
        <v>No.1-2(1)/2012-CP&amp;M-LTP    </v>
      </c>
      <c r="AF1" s="5"/>
      <c r="AG1" s="5"/>
      <c r="AH1" s="5"/>
      <c r="AI1" s="5"/>
      <c r="AJ1" s="5"/>
      <c r="AK1" s="71" t="s">
        <v>199</v>
      </c>
      <c r="AL1" s="5"/>
    </row>
    <row r="2" spans="1:38" ht="15.75" customHeight="1">
      <c r="A2" s="41" t="s">
        <v>202</v>
      </c>
      <c r="B2" s="39"/>
      <c r="C2" s="39"/>
      <c r="D2" s="39"/>
      <c r="E2" s="39"/>
      <c r="F2" s="39"/>
      <c r="G2" s="39"/>
      <c r="H2" s="39"/>
      <c r="I2" s="187"/>
      <c r="J2" s="39"/>
      <c r="K2" s="39"/>
      <c r="L2" s="39"/>
      <c r="M2" s="39"/>
      <c r="N2" s="39"/>
      <c r="O2" s="39"/>
      <c r="P2" s="39"/>
      <c r="Q2" s="187"/>
      <c r="R2" s="39"/>
      <c r="S2" s="39"/>
      <c r="T2" s="39"/>
      <c r="U2" s="39"/>
      <c r="V2" s="39"/>
      <c r="W2" s="39"/>
      <c r="X2" s="39"/>
      <c r="Y2" s="187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38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9" t="s">
        <v>38</v>
      </c>
      <c r="AB3" s="1"/>
      <c r="AC3" s="58">
        <f>1</f>
        <v>1</v>
      </c>
      <c r="AD3" s="58" t="str">
        <f>'May 12(1)'!K46</f>
        <v>April</v>
      </c>
      <c r="AE3" s="1"/>
      <c r="AF3" s="1"/>
      <c r="AG3" s="1"/>
      <c r="AH3" s="1"/>
      <c r="AI3" s="1"/>
      <c r="AJ3" s="1"/>
      <c r="AK3" s="1"/>
      <c r="AL3" s="1"/>
    </row>
    <row r="4" spans="1:51" ht="29.25" customHeight="1">
      <c r="A4" s="407" t="s">
        <v>18</v>
      </c>
      <c r="B4" s="407" t="s">
        <v>17</v>
      </c>
      <c r="C4" s="426" t="s">
        <v>77</v>
      </c>
      <c r="D4" s="426"/>
      <c r="E4" s="426"/>
      <c r="F4" s="426"/>
      <c r="G4" s="426"/>
      <c r="H4" s="426"/>
      <c r="I4" s="426"/>
      <c r="J4" s="426"/>
      <c r="K4" s="426" t="s">
        <v>78</v>
      </c>
      <c r="L4" s="426"/>
      <c r="M4" s="426"/>
      <c r="N4" s="426"/>
      <c r="O4" s="426"/>
      <c r="P4" s="426"/>
      <c r="Q4" s="426"/>
      <c r="R4" s="426"/>
      <c r="S4" s="426" t="s">
        <v>28</v>
      </c>
      <c r="T4" s="426"/>
      <c r="U4" s="426"/>
      <c r="V4" s="426"/>
      <c r="W4" s="426"/>
      <c r="X4" s="426"/>
      <c r="Y4" s="426"/>
      <c r="Z4" s="426"/>
      <c r="AA4" s="410" t="s">
        <v>197</v>
      </c>
      <c r="AB4" s="410"/>
      <c r="AC4" s="410"/>
      <c r="AD4" s="410"/>
      <c r="AE4" s="426" t="s">
        <v>74</v>
      </c>
      <c r="AF4" s="426"/>
      <c r="AG4" s="426"/>
      <c r="AH4" s="426"/>
      <c r="AI4" s="426"/>
      <c r="AJ4" s="426"/>
      <c r="AK4" s="426"/>
      <c r="AL4" s="426"/>
      <c r="AQ4" s="426" t="s">
        <v>215</v>
      </c>
      <c r="AR4" s="426"/>
      <c r="AS4" s="426"/>
      <c r="AT4" s="426" t="s">
        <v>216</v>
      </c>
      <c r="AU4" s="426"/>
      <c r="AV4" s="426"/>
      <c r="AW4" s="426" t="s">
        <v>217</v>
      </c>
      <c r="AX4" s="426"/>
      <c r="AY4" s="426"/>
    </row>
    <row r="5" spans="1:51" ht="18" customHeight="1">
      <c r="A5" s="408"/>
      <c r="B5" s="408"/>
      <c r="C5" s="426" t="s">
        <v>27</v>
      </c>
      <c r="D5" s="426"/>
      <c r="E5" s="426"/>
      <c r="F5" s="426"/>
      <c r="G5" s="426" t="s">
        <v>178</v>
      </c>
      <c r="H5" s="426"/>
      <c r="I5" s="426"/>
      <c r="J5" s="426"/>
      <c r="K5" s="426" t="s">
        <v>27</v>
      </c>
      <c r="L5" s="426"/>
      <c r="M5" s="426"/>
      <c r="N5" s="426"/>
      <c r="O5" s="426" t="s">
        <v>178</v>
      </c>
      <c r="P5" s="426"/>
      <c r="Q5" s="426"/>
      <c r="R5" s="426"/>
      <c r="S5" s="402" t="s">
        <v>27</v>
      </c>
      <c r="T5" s="403"/>
      <c r="U5" s="403"/>
      <c r="V5" s="404"/>
      <c r="W5" s="405" t="s">
        <v>178</v>
      </c>
      <c r="X5" s="406"/>
      <c r="Y5" s="406"/>
      <c r="Z5" s="396"/>
      <c r="AA5" s="410"/>
      <c r="AB5" s="410"/>
      <c r="AC5" s="410"/>
      <c r="AD5" s="410"/>
      <c r="AE5" s="402" t="s">
        <v>75</v>
      </c>
      <c r="AF5" s="403"/>
      <c r="AG5" s="403"/>
      <c r="AH5" s="404"/>
      <c r="AI5" s="405" t="s">
        <v>179</v>
      </c>
      <c r="AJ5" s="406"/>
      <c r="AK5" s="406"/>
      <c r="AL5" s="396"/>
      <c r="AQ5" s="426"/>
      <c r="AR5" s="426"/>
      <c r="AS5" s="426"/>
      <c r="AT5" s="426"/>
      <c r="AU5" s="426"/>
      <c r="AV5" s="426"/>
      <c r="AW5" s="426"/>
      <c r="AX5" s="426"/>
      <c r="AY5" s="426"/>
    </row>
    <row r="6" spans="1:51" ht="29.25" customHeight="1">
      <c r="A6" s="409"/>
      <c r="B6" s="409"/>
      <c r="C6" s="12" t="s">
        <v>26</v>
      </c>
      <c r="D6" s="12" t="s">
        <v>21</v>
      </c>
      <c r="E6" s="12" t="s">
        <v>1</v>
      </c>
      <c r="F6" s="12" t="s">
        <v>2</v>
      </c>
      <c r="G6" s="12" t="s">
        <v>26</v>
      </c>
      <c r="H6" s="12" t="s">
        <v>22</v>
      </c>
      <c r="I6" s="12" t="s">
        <v>1</v>
      </c>
      <c r="J6" s="37" t="s">
        <v>2</v>
      </c>
      <c r="K6" s="12" t="s">
        <v>26</v>
      </c>
      <c r="L6" s="12" t="s">
        <v>21</v>
      </c>
      <c r="M6" s="12" t="s">
        <v>1</v>
      </c>
      <c r="N6" s="12" t="s">
        <v>2</v>
      </c>
      <c r="O6" s="12" t="s">
        <v>26</v>
      </c>
      <c r="P6" s="12" t="s">
        <v>22</v>
      </c>
      <c r="Q6" s="12" t="s">
        <v>1</v>
      </c>
      <c r="R6" s="37" t="s">
        <v>2</v>
      </c>
      <c r="S6" s="12" t="s">
        <v>26</v>
      </c>
      <c r="T6" s="12" t="s">
        <v>21</v>
      </c>
      <c r="U6" s="12" t="s">
        <v>1</v>
      </c>
      <c r="V6" s="12" t="s">
        <v>2</v>
      </c>
      <c r="W6" s="12" t="s">
        <v>26</v>
      </c>
      <c r="X6" s="12" t="s">
        <v>22</v>
      </c>
      <c r="Y6" s="12" t="s">
        <v>1</v>
      </c>
      <c r="Z6" s="37" t="s">
        <v>2</v>
      </c>
      <c r="AA6" s="12" t="s">
        <v>26</v>
      </c>
      <c r="AB6" s="12" t="s">
        <v>20</v>
      </c>
      <c r="AC6" s="12" t="s">
        <v>1</v>
      </c>
      <c r="AD6" s="12" t="s">
        <v>2</v>
      </c>
      <c r="AE6" s="12" t="s">
        <v>26</v>
      </c>
      <c r="AF6" s="12" t="s">
        <v>21</v>
      </c>
      <c r="AG6" s="12" t="s">
        <v>1</v>
      </c>
      <c r="AH6" s="12" t="s">
        <v>2</v>
      </c>
      <c r="AI6" s="12" t="s">
        <v>26</v>
      </c>
      <c r="AJ6" s="12" t="s">
        <v>22</v>
      </c>
      <c r="AK6" s="12" t="s">
        <v>1</v>
      </c>
      <c r="AL6" s="37" t="s">
        <v>2</v>
      </c>
      <c r="AQ6" s="12" t="s">
        <v>26</v>
      </c>
      <c r="AR6" s="12" t="s">
        <v>22</v>
      </c>
      <c r="AS6" s="12" t="s">
        <v>1</v>
      </c>
      <c r="AT6" s="12" t="s">
        <v>26</v>
      </c>
      <c r="AU6" s="12" t="s">
        <v>22</v>
      </c>
      <c r="AV6" s="12" t="s">
        <v>1</v>
      </c>
      <c r="AW6" s="12" t="s">
        <v>26</v>
      </c>
      <c r="AX6" s="12" t="s">
        <v>22</v>
      </c>
      <c r="AY6" s="12" t="s">
        <v>1</v>
      </c>
    </row>
    <row r="7" spans="1:54" ht="25.5" customHeight="1">
      <c r="A7" s="24">
        <v>1</v>
      </c>
      <c r="B7" s="25" t="s">
        <v>39</v>
      </c>
      <c r="C7" s="35">
        <v>105</v>
      </c>
      <c r="D7" s="35">
        <v>60</v>
      </c>
      <c r="E7" s="35">
        <v>9</v>
      </c>
      <c r="F7" s="35">
        <f>SUM(C7:E7)</f>
        <v>174</v>
      </c>
      <c r="G7" s="35">
        <f aca="true" t="shared" si="0" ref="G7:I10">C7+AQ7</f>
        <v>203</v>
      </c>
      <c r="H7" s="35">
        <f t="shared" si="0"/>
        <v>134</v>
      </c>
      <c r="I7" s="35">
        <f t="shared" si="0"/>
        <v>9</v>
      </c>
      <c r="J7" s="35">
        <f>SUM(G7:I7)</f>
        <v>346</v>
      </c>
      <c r="K7" s="35">
        <v>450</v>
      </c>
      <c r="L7" s="35">
        <v>0</v>
      </c>
      <c r="M7" s="35">
        <v>3273</v>
      </c>
      <c r="N7" s="26">
        <f>SUM(K7:M7)</f>
        <v>3723</v>
      </c>
      <c r="O7" s="26">
        <f aca="true" t="shared" si="1" ref="O7:Q10">K7+AT7</f>
        <v>729</v>
      </c>
      <c r="P7" s="26">
        <f t="shared" si="1"/>
        <v>0</v>
      </c>
      <c r="Q7" s="26">
        <f t="shared" si="1"/>
        <v>7726</v>
      </c>
      <c r="R7" s="26">
        <f>SUM(O7:Q7)</f>
        <v>8455</v>
      </c>
      <c r="S7" s="35">
        <f aca="true" t="shared" si="2" ref="S7:U11">K7+C7</f>
        <v>555</v>
      </c>
      <c r="T7" s="35">
        <f t="shared" si="2"/>
        <v>60</v>
      </c>
      <c r="U7" s="35">
        <f t="shared" si="2"/>
        <v>3282</v>
      </c>
      <c r="V7" s="26">
        <f>S7+T7+U7</f>
        <v>3897</v>
      </c>
      <c r="W7" s="26">
        <f aca="true" t="shared" si="3" ref="W7:Y10">S7+AW7</f>
        <v>932</v>
      </c>
      <c r="X7" s="26">
        <f t="shared" si="3"/>
        <v>134</v>
      </c>
      <c r="Y7" s="26">
        <f t="shared" si="3"/>
        <v>7735</v>
      </c>
      <c r="Z7" s="26">
        <f>W7+X7+Y7</f>
        <v>8801</v>
      </c>
      <c r="AA7" s="163">
        <f>W7*(1/AC3)/'May 12(1)'!C6*100</f>
        <v>5.859424116685528</v>
      </c>
      <c r="AB7" s="163">
        <f>X7*(1/AC3)/'May 12(1)'!D6*100</f>
        <v>1.34457154324704</v>
      </c>
      <c r="AC7" s="163">
        <f>Y7*(1/AC3)/'May 12(1)'!E6*100</f>
        <v>4.225229014513812</v>
      </c>
      <c r="AD7" s="163">
        <f>Z7*(1/AC3)/'May 12(1)'!F6*100</f>
        <v>4.212234192754823</v>
      </c>
      <c r="AE7" s="26">
        <f>S7+'May 12(1)'!S6</f>
        <v>54</v>
      </c>
      <c r="AF7" s="26">
        <f>T7+'May 12(1)'!T6</f>
        <v>404</v>
      </c>
      <c r="AG7" s="26">
        <f>U7+'May 12(1)'!U6</f>
        <v>6196</v>
      </c>
      <c r="AH7" s="26">
        <f>SUM(AE7:AG7)</f>
        <v>6654</v>
      </c>
      <c r="AI7" s="26">
        <f>W7+'May 12(1)'!W6</f>
        <v>152</v>
      </c>
      <c r="AJ7" s="26">
        <f>X7+'May 12(1)'!X6</f>
        <v>595</v>
      </c>
      <c r="AK7" s="26">
        <f>Y7+'May 12(1)'!Y6</f>
        <v>13020</v>
      </c>
      <c r="AL7" s="26">
        <f>SUM(AI7:AK7)</f>
        <v>13767</v>
      </c>
      <c r="AM7" s="8"/>
      <c r="AN7" s="8"/>
      <c r="AO7" s="8"/>
      <c r="AP7" s="8"/>
      <c r="AQ7" s="42">
        <v>98</v>
      </c>
      <c r="AR7" s="42">
        <v>74</v>
      </c>
      <c r="AS7" s="42">
        <v>0</v>
      </c>
      <c r="AT7" s="258">
        <v>279</v>
      </c>
      <c r="AU7" s="258">
        <v>0</v>
      </c>
      <c r="AV7" s="258">
        <v>4453</v>
      </c>
      <c r="AW7" s="42">
        <v>377</v>
      </c>
      <c r="AX7" s="42">
        <v>74</v>
      </c>
      <c r="AY7" s="42">
        <v>4453</v>
      </c>
      <c r="AZ7" s="4">
        <f>AW7-AT7-AQ7</f>
        <v>0</v>
      </c>
      <c r="BA7" s="4">
        <f>AX7-AU7-AR7</f>
        <v>0</v>
      </c>
      <c r="BB7" s="4">
        <f>AY7-AV7-AS7</f>
        <v>0</v>
      </c>
    </row>
    <row r="8" spans="1:54" ht="25.5" customHeight="1">
      <c r="A8" s="27">
        <v>2</v>
      </c>
      <c r="B8" s="28" t="s">
        <v>65</v>
      </c>
      <c r="C8" s="33">
        <v>16163</v>
      </c>
      <c r="D8" s="33">
        <v>7409</v>
      </c>
      <c r="E8" s="33">
        <v>176352</v>
      </c>
      <c r="F8" s="29">
        <f aca="true" t="shared" si="4" ref="F8:F32">SUM(C8:E8)</f>
        <v>199924</v>
      </c>
      <c r="G8" s="29">
        <f t="shared" si="0"/>
        <v>32759</v>
      </c>
      <c r="H8" s="29">
        <f t="shared" si="0"/>
        <v>10467</v>
      </c>
      <c r="I8" s="29">
        <f t="shared" si="0"/>
        <v>418413</v>
      </c>
      <c r="J8" s="29">
        <f aca="true" t="shared" si="5" ref="J8:J32">SUM(G8:I8)</f>
        <v>461639</v>
      </c>
      <c r="K8" s="33">
        <v>21007</v>
      </c>
      <c r="L8" s="33">
        <v>0</v>
      </c>
      <c r="M8" s="33">
        <v>1</v>
      </c>
      <c r="N8" s="29">
        <f aca="true" t="shared" si="6" ref="N8:N32">SUM(K8:M8)</f>
        <v>21008</v>
      </c>
      <c r="O8" s="29">
        <f t="shared" si="1"/>
        <v>32191</v>
      </c>
      <c r="P8" s="29">
        <f t="shared" si="1"/>
        <v>0</v>
      </c>
      <c r="Q8" s="29">
        <f t="shared" si="1"/>
        <v>3</v>
      </c>
      <c r="R8" s="29">
        <f aca="true" t="shared" si="7" ref="R8:R32">SUM(O8:Q8)</f>
        <v>32194</v>
      </c>
      <c r="S8" s="33">
        <f t="shared" si="2"/>
        <v>37170</v>
      </c>
      <c r="T8" s="33">
        <f t="shared" si="2"/>
        <v>7409</v>
      </c>
      <c r="U8" s="33">
        <f t="shared" si="2"/>
        <v>176353</v>
      </c>
      <c r="V8" s="29">
        <f aca="true" t="shared" si="8" ref="V8:V32">S8+T8+U8</f>
        <v>220932</v>
      </c>
      <c r="W8" s="29">
        <f t="shared" si="3"/>
        <v>64950</v>
      </c>
      <c r="X8" s="29">
        <f t="shared" si="3"/>
        <v>10467</v>
      </c>
      <c r="Y8" s="29">
        <f t="shared" si="3"/>
        <v>418416</v>
      </c>
      <c r="Z8" s="29">
        <f aca="true" t="shared" si="9" ref="Z8:Z32">W8+X8+Y8</f>
        <v>493833</v>
      </c>
      <c r="AA8" s="164">
        <f>W8*(1/AC3)/'May 12(1)'!C7*100</f>
        <v>3.2968539029268142</v>
      </c>
      <c r="AB8" s="164">
        <f>X8*(1/AC3)/'May 12(1)'!D7*100</f>
        <v>4.846663548848645</v>
      </c>
      <c r="AC8" s="164">
        <f>Y8*(1/AC3)/'May 12(1)'!E7*100</f>
        <v>4.7524169500327</v>
      </c>
      <c r="AD8" s="164">
        <f>Z8*(1/AC3)/'May 12(1)'!F7*100</f>
        <v>4.493352820819011</v>
      </c>
      <c r="AE8" s="29">
        <f>S8+'May 12(1)'!S7</f>
        <v>16924</v>
      </c>
      <c r="AF8" s="29">
        <f>T8+'May 12(1)'!T7</f>
        <v>1597</v>
      </c>
      <c r="AG8" s="29">
        <f>U8+'May 12(1)'!U7</f>
        <v>185736</v>
      </c>
      <c r="AH8" s="29">
        <f aca="true" t="shared" si="10" ref="AH8:AH32">SUM(AE8:AG8)</f>
        <v>204257</v>
      </c>
      <c r="AI8" s="29">
        <f>W8+'May 12(1)'!W7</f>
        <v>30736</v>
      </c>
      <c r="AJ8" s="29">
        <f>X8+'May 12(1)'!X7</f>
        <v>2719</v>
      </c>
      <c r="AK8" s="29">
        <f>Y8+'May 12(1)'!Y7</f>
        <v>428047</v>
      </c>
      <c r="AL8" s="29">
        <f aca="true" t="shared" si="11" ref="AL8:AL32">SUM(AI8:AK8)</f>
        <v>461502</v>
      </c>
      <c r="AM8" s="8"/>
      <c r="AN8" s="8"/>
      <c r="AO8" s="8"/>
      <c r="AP8" s="8"/>
      <c r="AQ8" s="42">
        <v>16596</v>
      </c>
      <c r="AR8" s="42">
        <v>3058</v>
      </c>
      <c r="AS8" s="42">
        <v>242061</v>
      </c>
      <c r="AT8" s="258">
        <v>11184</v>
      </c>
      <c r="AU8" s="258">
        <v>0</v>
      </c>
      <c r="AV8" s="258">
        <v>2</v>
      </c>
      <c r="AW8" s="42">
        <v>27780</v>
      </c>
      <c r="AX8" s="42">
        <v>3058</v>
      </c>
      <c r="AY8" s="42">
        <v>242063</v>
      </c>
      <c r="AZ8" s="4">
        <f aca="true" t="shared" si="12" ref="AZ8:BB31">AW8-AT8-AQ8</f>
        <v>0</v>
      </c>
      <c r="BA8" s="4">
        <f t="shared" si="12"/>
        <v>0</v>
      </c>
      <c r="BB8" s="4">
        <f t="shared" si="12"/>
        <v>0</v>
      </c>
    </row>
    <row r="9" spans="1:54" ht="25.5" customHeight="1">
      <c r="A9" s="30">
        <v>3</v>
      </c>
      <c r="B9" s="31" t="s">
        <v>3</v>
      </c>
      <c r="C9" s="34">
        <v>25448</v>
      </c>
      <c r="D9" s="34">
        <v>176</v>
      </c>
      <c r="E9" s="34">
        <v>24043</v>
      </c>
      <c r="F9" s="32">
        <f t="shared" si="4"/>
        <v>49667</v>
      </c>
      <c r="G9" s="32">
        <f t="shared" si="0"/>
        <v>27837</v>
      </c>
      <c r="H9" s="32">
        <f t="shared" si="0"/>
        <v>382</v>
      </c>
      <c r="I9" s="32">
        <f t="shared" si="0"/>
        <v>74403</v>
      </c>
      <c r="J9" s="32">
        <f t="shared" si="5"/>
        <v>102622</v>
      </c>
      <c r="K9" s="34">
        <v>339</v>
      </c>
      <c r="L9" s="34">
        <v>0</v>
      </c>
      <c r="M9" s="34">
        <v>0</v>
      </c>
      <c r="N9" s="32">
        <f t="shared" si="6"/>
        <v>339</v>
      </c>
      <c r="O9" s="32">
        <f t="shared" si="1"/>
        <v>358</v>
      </c>
      <c r="P9" s="32">
        <f t="shared" si="1"/>
        <v>0</v>
      </c>
      <c r="Q9" s="32">
        <f t="shared" si="1"/>
        <v>0</v>
      </c>
      <c r="R9" s="32">
        <f t="shared" si="7"/>
        <v>358</v>
      </c>
      <c r="S9" s="34">
        <f t="shared" si="2"/>
        <v>25787</v>
      </c>
      <c r="T9" s="34">
        <f t="shared" si="2"/>
        <v>176</v>
      </c>
      <c r="U9" s="34">
        <f t="shared" si="2"/>
        <v>24043</v>
      </c>
      <c r="V9" s="32">
        <f t="shared" si="8"/>
        <v>50006</v>
      </c>
      <c r="W9" s="32">
        <f t="shared" si="3"/>
        <v>28195</v>
      </c>
      <c r="X9" s="32">
        <f t="shared" si="3"/>
        <v>382</v>
      </c>
      <c r="Y9" s="32">
        <f t="shared" si="3"/>
        <v>74403</v>
      </c>
      <c r="Z9" s="32">
        <f t="shared" si="9"/>
        <v>102980</v>
      </c>
      <c r="AA9" s="165">
        <f>W9*(1/AC3)/'May 12(1)'!C8*100</f>
        <v>12.408187335243301</v>
      </c>
      <c r="AB9" s="165">
        <f>X9*(1/AC3)/'May 12(1)'!D8*100</f>
        <v>0.3676612127045236</v>
      </c>
      <c r="AC9" s="165">
        <f>Y9*(1/AC3)/'May 12(1)'!E8*100</f>
        <v>6.405884221755192</v>
      </c>
      <c r="AD9" s="165">
        <f>Z9*(1/AC3)/'May 12(1)'!F8*100</f>
        <v>6.899333247577395</v>
      </c>
      <c r="AE9" s="32">
        <f>S9+'May 12(1)'!S8</f>
        <v>1010</v>
      </c>
      <c r="AF9" s="32">
        <f>T9+'May 12(1)'!T8</f>
        <v>239</v>
      </c>
      <c r="AG9" s="32">
        <f>U9+'May 12(1)'!U8</f>
        <v>22446</v>
      </c>
      <c r="AH9" s="32">
        <f t="shared" si="10"/>
        <v>23695</v>
      </c>
      <c r="AI9" s="32">
        <f>W9+'May 12(1)'!W8</f>
        <v>1799</v>
      </c>
      <c r="AJ9" s="32">
        <f>X9+'May 12(1)'!X8</f>
        <v>517</v>
      </c>
      <c r="AK9" s="32">
        <f>Y9+'May 12(1)'!Y8</f>
        <v>79541</v>
      </c>
      <c r="AL9" s="32">
        <f t="shared" si="11"/>
        <v>81857</v>
      </c>
      <c r="AM9" s="8"/>
      <c r="AN9" s="8"/>
      <c r="AO9" s="8"/>
      <c r="AP9" s="8"/>
      <c r="AQ9" s="42">
        <v>2389</v>
      </c>
      <c r="AR9" s="42">
        <v>206</v>
      </c>
      <c r="AS9" s="42">
        <v>50360</v>
      </c>
      <c r="AT9" s="258">
        <v>19</v>
      </c>
      <c r="AU9" s="258">
        <v>0</v>
      </c>
      <c r="AV9" s="258">
        <v>0</v>
      </c>
      <c r="AW9" s="42">
        <v>2408</v>
      </c>
      <c r="AX9" s="42">
        <v>206</v>
      </c>
      <c r="AY9" s="42">
        <v>50360</v>
      </c>
      <c r="AZ9" s="4">
        <f t="shared" si="12"/>
        <v>0</v>
      </c>
      <c r="BA9" s="4">
        <f t="shared" si="12"/>
        <v>0</v>
      </c>
      <c r="BB9" s="4">
        <f t="shared" si="12"/>
        <v>0</v>
      </c>
    </row>
    <row r="10" spans="1:54" ht="25.5" customHeight="1">
      <c r="A10" s="24">
        <v>4</v>
      </c>
      <c r="B10" s="25" t="s">
        <v>31</v>
      </c>
      <c r="C10" s="35">
        <v>1180</v>
      </c>
      <c r="D10" s="35">
        <f>0+2408</f>
        <v>2408</v>
      </c>
      <c r="E10" s="35">
        <v>58116</v>
      </c>
      <c r="F10" s="26">
        <f t="shared" si="4"/>
        <v>61704</v>
      </c>
      <c r="G10" s="26">
        <f t="shared" si="0"/>
        <v>2717</v>
      </c>
      <c r="H10" s="26">
        <f t="shared" si="0"/>
        <v>154223</v>
      </c>
      <c r="I10" s="26">
        <f t="shared" si="0"/>
        <v>339909</v>
      </c>
      <c r="J10" s="26">
        <f t="shared" si="5"/>
        <v>496849</v>
      </c>
      <c r="K10" s="35">
        <v>0</v>
      </c>
      <c r="L10" s="35">
        <v>0</v>
      </c>
      <c r="M10" s="35">
        <v>88</v>
      </c>
      <c r="N10" s="26">
        <f t="shared" si="6"/>
        <v>88</v>
      </c>
      <c r="O10" s="26">
        <f t="shared" si="1"/>
        <v>0</v>
      </c>
      <c r="P10" s="26">
        <f t="shared" si="1"/>
        <v>0</v>
      </c>
      <c r="Q10" s="26">
        <f t="shared" si="1"/>
        <v>93</v>
      </c>
      <c r="R10" s="26">
        <f t="shared" si="7"/>
        <v>93</v>
      </c>
      <c r="S10" s="35">
        <f t="shared" si="2"/>
        <v>1180</v>
      </c>
      <c r="T10" s="35">
        <f t="shared" si="2"/>
        <v>2408</v>
      </c>
      <c r="U10" s="35">
        <f t="shared" si="2"/>
        <v>58204</v>
      </c>
      <c r="V10" s="26">
        <f t="shared" si="8"/>
        <v>61792</v>
      </c>
      <c r="W10" s="26">
        <f t="shared" si="3"/>
        <v>2717</v>
      </c>
      <c r="X10" s="26">
        <f t="shared" si="3"/>
        <v>154223</v>
      </c>
      <c r="Y10" s="26">
        <f t="shared" si="3"/>
        <v>340002</v>
      </c>
      <c r="Z10" s="26">
        <f t="shared" si="9"/>
        <v>496942</v>
      </c>
      <c r="AA10" s="163">
        <f>W10*(1/AC3)/'May 12(1)'!C9*100</f>
        <v>0.7154669363163327</v>
      </c>
      <c r="AB10" s="163">
        <f>X10*(1/AC3)/'May 12(1)'!D9*100</f>
        <v>54.276925892426654</v>
      </c>
      <c r="AC10" s="163">
        <f>Y10*(1/AC3)/'May 12(1)'!E9*100</f>
        <v>8.199101962467626</v>
      </c>
      <c r="AD10" s="163">
        <f>Z10*(1/AC3)/'May 12(1)'!F9*100</f>
        <v>10.32990328044928</v>
      </c>
      <c r="AE10" s="26">
        <f>S10+'May 12(1)'!S9</f>
        <v>1855</v>
      </c>
      <c r="AF10" s="26">
        <f>T10+'May 12(1)'!T9</f>
        <v>2467</v>
      </c>
      <c r="AG10" s="26">
        <f>U10+'May 12(1)'!U9</f>
        <v>89217</v>
      </c>
      <c r="AH10" s="26">
        <f t="shared" si="10"/>
        <v>93539</v>
      </c>
      <c r="AI10" s="26">
        <f>W10+'May 12(1)'!W9</f>
        <v>3218</v>
      </c>
      <c r="AJ10" s="26">
        <f>X10+'May 12(1)'!X9</f>
        <v>2467</v>
      </c>
      <c r="AK10" s="26">
        <f>Y10+'May 12(1)'!Y9</f>
        <v>376385</v>
      </c>
      <c r="AL10" s="26">
        <f t="shared" si="11"/>
        <v>382070</v>
      </c>
      <c r="AM10" s="8"/>
      <c r="AN10" s="8"/>
      <c r="AO10" s="8"/>
      <c r="AP10" s="8"/>
      <c r="AQ10" s="42">
        <v>1537</v>
      </c>
      <c r="AR10" s="42">
        <v>151815</v>
      </c>
      <c r="AS10" s="42">
        <v>281793</v>
      </c>
      <c r="AT10" s="258">
        <v>0</v>
      </c>
      <c r="AU10" s="258">
        <v>0</v>
      </c>
      <c r="AV10" s="258">
        <v>5</v>
      </c>
      <c r="AW10" s="42">
        <v>1537</v>
      </c>
      <c r="AX10" s="42">
        <v>151815</v>
      </c>
      <c r="AY10" s="42">
        <v>281798</v>
      </c>
      <c r="AZ10" s="4">
        <f t="shared" si="12"/>
        <v>0</v>
      </c>
      <c r="BA10" s="4">
        <f t="shared" si="12"/>
        <v>0</v>
      </c>
      <c r="BB10" s="4">
        <f t="shared" si="12"/>
        <v>0</v>
      </c>
    </row>
    <row r="11" spans="1:54" ht="25.5" customHeight="1">
      <c r="A11" s="27">
        <v>5</v>
      </c>
      <c r="B11" s="28" t="s">
        <v>5</v>
      </c>
      <c r="C11" s="33">
        <v>1546</v>
      </c>
      <c r="D11" s="33">
        <v>3432</v>
      </c>
      <c r="E11" s="33">
        <v>0</v>
      </c>
      <c r="F11" s="33">
        <f t="shared" si="4"/>
        <v>4978</v>
      </c>
      <c r="G11" s="29">
        <f aca="true" t="shared" si="13" ref="G11:G32">C11+AQ11</f>
        <v>3525</v>
      </c>
      <c r="H11" s="29">
        <f aca="true" t="shared" si="14" ref="H11:H32">D11+AR11</f>
        <v>6031</v>
      </c>
      <c r="I11" s="29">
        <f aca="true" t="shared" si="15" ref="I11:I32">E11+AS11</f>
        <v>18</v>
      </c>
      <c r="J11" s="29">
        <f t="shared" si="5"/>
        <v>9574</v>
      </c>
      <c r="K11" s="232"/>
      <c r="L11" s="232"/>
      <c r="M11" s="232"/>
      <c r="N11" s="29">
        <f t="shared" si="6"/>
        <v>0</v>
      </c>
      <c r="O11" s="29">
        <f aca="true" t="shared" si="16" ref="O11:O32">K11+AT11</f>
        <v>0</v>
      </c>
      <c r="P11" s="29">
        <f aca="true" t="shared" si="17" ref="P11:P32">L11+AU11</f>
        <v>0</v>
      </c>
      <c r="Q11" s="29">
        <f aca="true" t="shared" si="18" ref="Q11:Q32">M11+AV11</f>
        <v>0</v>
      </c>
      <c r="R11" s="29">
        <f t="shared" si="7"/>
        <v>0</v>
      </c>
      <c r="S11" s="33">
        <f t="shared" si="2"/>
        <v>1546</v>
      </c>
      <c r="T11" s="33">
        <f t="shared" si="2"/>
        <v>3432</v>
      </c>
      <c r="U11" s="33">
        <f aca="true" t="shared" si="19" ref="U11:U32">M11+E11</f>
        <v>0</v>
      </c>
      <c r="V11" s="29">
        <f t="shared" si="8"/>
        <v>4978</v>
      </c>
      <c r="W11" s="29">
        <f aca="true" t="shared" si="20" ref="W11:W32">S11+AW11</f>
        <v>3525</v>
      </c>
      <c r="X11" s="29">
        <f aca="true" t="shared" si="21" ref="X11:X32">T11+AX11</f>
        <v>6031</v>
      </c>
      <c r="Y11" s="29">
        <f aca="true" t="shared" si="22" ref="Y11:Y32">U11+AY11</f>
        <v>18</v>
      </c>
      <c r="Z11" s="29">
        <f t="shared" si="9"/>
        <v>9574</v>
      </c>
      <c r="AA11" s="164">
        <f>W11*(1/AC3)/'May 12(1)'!C10*100</f>
        <v>2.3954659436097123</v>
      </c>
      <c r="AB11" s="164">
        <f>X11*(1/AC3)/'May 12(1)'!D10*100</f>
        <v>4.629899740522946</v>
      </c>
      <c r="AC11" s="164">
        <f>Y11*(1/AC3)/'May 12(1)'!E10*100</f>
        <v>0.0013053268212028586</v>
      </c>
      <c r="AD11" s="164">
        <f>Z11*(1/AC3)/'May 12(1)'!F10*100</f>
        <v>0.5780074620558084</v>
      </c>
      <c r="AE11" s="29">
        <f>S11+'May 12(1)'!S10</f>
        <v>902</v>
      </c>
      <c r="AF11" s="29">
        <f>T11+'May 12(1)'!T10</f>
        <v>1577</v>
      </c>
      <c r="AG11" s="29">
        <f>U11+'May 12(1)'!U10</f>
        <v>26559</v>
      </c>
      <c r="AH11" s="29">
        <f t="shared" si="10"/>
        <v>29038</v>
      </c>
      <c r="AI11" s="29">
        <f>W11+'May 12(1)'!W10</f>
        <v>1588</v>
      </c>
      <c r="AJ11" s="29">
        <f>X11+'May 12(1)'!X10</f>
        <v>2026</v>
      </c>
      <c r="AK11" s="29">
        <f>Y11+'May 12(1)'!Y10</f>
        <v>61167</v>
      </c>
      <c r="AL11" s="29">
        <f t="shared" si="11"/>
        <v>64781</v>
      </c>
      <c r="AM11" s="8"/>
      <c r="AN11" s="8"/>
      <c r="AO11" s="8"/>
      <c r="AP11" s="8"/>
      <c r="AQ11" s="42">
        <v>1979</v>
      </c>
      <c r="AR11" s="42">
        <v>2599</v>
      </c>
      <c r="AS11" s="42">
        <v>18</v>
      </c>
      <c r="AT11" s="258">
        <v>0</v>
      </c>
      <c r="AU11" s="258">
        <v>0</v>
      </c>
      <c r="AV11" s="258">
        <v>0</v>
      </c>
      <c r="AW11" s="42">
        <v>1979</v>
      </c>
      <c r="AX11" s="42">
        <v>2599</v>
      </c>
      <c r="AY11" s="42">
        <v>18</v>
      </c>
      <c r="AZ11" s="4">
        <f t="shared" si="12"/>
        <v>0</v>
      </c>
      <c r="BA11" s="4">
        <f t="shared" si="12"/>
        <v>0</v>
      </c>
      <c r="BB11" s="4">
        <f t="shared" si="12"/>
        <v>0</v>
      </c>
    </row>
    <row r="12" spans="1:54" ht="25.5" customHeight="1">
      <c r="A12" s="30">
        <v>6</v>
      </c>
      <c r="B12" s="31" t="s">
        <v>32</v>
      </c>
      <c r="C12" s="34">
        <v>10386</v>
      </c>
      <c r="D12" s="34">
        <v>16003</v>
      </c>
      <c r="E12" s="34">
        <f>21192+1943</f>
        <v>23135</v>
      </c>
      <c r="F12" s="32">
        <f t="shared" si="4"/>
        <v>49524</v>
      </c>
      <c r="G12" s="34">
        <f t="shared" si="13"/>
        <v>18653</v>
      </c>
      <c r="H12" s="34">
        <f t="shared" si="14"/>
        <v>21982</v>
      </c>
      <c r="I12" s="34">
        <f t="shared" si="15"/>
        <v>24421</v>
      </c>
      <c r="J12" s="34">
        <f t="shared" si="5"/>
        <v>65056</v>
      </c>
      <c r="K12" s="34">
        <v>1686</v>
      </c>
      <c r="L12" s="34">
        <v>7831</v>
      </c>
      <c r="M12" s="233"/>
      <c r="N12" s="32">
        <f t="shared" si="6"/>
        <v>9517</v>
      </c>
      <c r="O12" s="32">
        <f t="shared" si="16"/>
        <v>3327</v>
      </c>
      <c r="P12" s="32">
        <f t="shared" si="17"/>
        <v>8702</v>
      </c>
      <c r="Q12" s="32">
        <f t="shared" si="18"/>
        <v>0</v>
      </c>
      <c r="R12" s="32">
        <f t="shared" si="7"/>
        <v>12029</v>
      </c>
      <c r="S12" s="34">
        <f aca="true" t="shared" si="23" ref="S12:S32">K12+C12</f>
        <v>12072</v>
      </c>
      <c r="T12" s="34">
        <f aca="true" t="shared" si="24" ref="T12:T32">L12+D12</f>
        <v>23834</v>
      </c>
      <c r="U12" s="34">
        <f t="shared" si="19"/>
        <v>23135</v>
      </c>
      <c r="V12" s="32">
        <f t="shared" si="8"/>
        <v>59041</v>
      </c>
      <c r="W12" s="32">
        <f t="shared" si="20"/>
        <v>21980</v>
      </c>
      <c r="X12" s="32">
        <f t="shared" si="21"/>
        <v>30684</v>
      </c>
      <c r="Y12" s="32">
        <f t="shared" si="22"/>
        <v>24421</v>
      </c>
      <c r="Z12" s="32">
        <f t="shared" si="9"/>
        <v>77085</v>
      </c>
      <c r="AA12" s="165">
        <f>W12*(1/AC3)/'May 12(1)'!C11*100</f>
        <v>1.3749272814847713</v>
      </c>
      <c r="AB12" s="165">
        <f>X12*(1/AC3)/'May 12(1)'!D11*100</f>
        <v>13.232307115103477</v>
      </c>
      <c r="AC12" s="165">
        <f>Y12*(1/AC3)/'May 12(1)'!E11*100</f>
        <v>0.6104122263411835</v>
      </c>
      <c r="AD12" s="165">
        <f>Z12*(1/AC3)/'May 12(1)'!F11*100</f>
        <v>1.3219279002671123</v>
      </c>
      <c r="AE12" s="32">
        <f>S12+'May 12(1)'!S11</f>
        <v>6417</v>
      </c>
      <c r="AF12" s="32">
        <f>T12+'May 12(1)'!T11</f>
        <v>1650</v>
      </c>
      <c r="AG12" s="32">
        <f>U12+'May 12(1)'!U11</f>
        <v>0</v>
      </c>
      <c r="AH12" s="32">
        <f t="shared" si="10"/>
        <v>8067</v>
      </c>
      <c r="AI12" s="32">
        <f>W12+'May 12(1)'!W11</f>
        <v>11893</v>
      </c>
      <c r="AJ12" s="32">
        <f>X12+'May 12(1)'!X11</f>
        <v>4798</v>
      </c>
      <c r="AK12" s="32">
        <f>Y12+'May 12(1)'!Y11</f>
        <v>16271</v>
      </c>
      <c r="AL12" s="32">
        <f t="shared" si="11"/>
        <v>32962</v>
      </c>
      <c r="AM12" s="8"/>
      <c r="AN12" s="8"/>
      <c r="AO12" s="8"/>
      <c r="AP12" s="8"/>
      <c r="AQ12" s="42">
        <v>8267</v>
      </c>
      <c r="AR12" s="42">
        <v>5979</v>
      </c>
      <c r="AS12" s="42">
        <v>1286</v>
      </c>
      <c r="AT12" s="258">
        <v>1641</v>
      </c>
      <c r="AU12" s="258">
        <v>871</v>
      </c>
      <c r="AV12" s="258">
        <v>0</v>
      </c>
      <c r="AW12" s="42">
        <v>9908</v>
      </c>
      <c r="AX12" s="42">
        <v>6850</v>
      </c>
      <c r="AY12" s="42">
        <v>1286</v>
      </c>
      <c r="AZ12" s="4">
        <f t="shared" si="12"/>
        <v>0</v>
      </c>
      <c r="BA12" s="4">
        <f t="shared" si="12"/>
        <v>0</v>
      </c>
      <c r="BB12" s="4">
        <f t="shared" si="12"/>
        <v>0</v>
      </c>
    </row>
    <row r="13" spans="1:54" ht="25.5" customHeight="1">
      <c r="A13" s="24">
        <v>7</v>
      </c>
      <c r="B13" s="44" t="s">
        <v>66</v>
      </c>
      <c r="C13" s="35">
        <v>3414</v>
      </c>
      <c r="D13" s="35">
        <v>362</v>
      </c>
      <c r="E13" s="35">
        <v>40912</v>
      </c>
      <c r="F13" s="26">
        <f t="shared" si="4"/>
        <v>44688</v>
      </c>
      <c r="G13" s="26">
        <f t="shared" si="13"/>
        <v>6968</v>
      </c>
      <c r="H13" s="26">
        <f t="shared" si="14"/>
        <v>521</v>
      </c>
      <c r="I13" s="26">
        <f t="shared" si="15"/>
        <v>82664</v>
      </c>
      <c r="J13" s="26">
        <f t="shared" si="5"/>
        <v>90153</v>
      </c>
      <c r="K13" s="35">
        <v>3004</v>
      </c>
      <c r="L13" s="35">
        <v>688</v>
      </c>
      <c r="M13" s="35">
        <v>273</v>
      </c>
      <c r="N13" s="26">
        <f t="shared" si="6"/>
        <v>3965</v>
      </c>
      <c r="O13" s="26">
        <f t="shared" si="16"/>
        <v>5938</v>
      </c>
      <c r="P13" s="26">
        <f t="shared" si="17"/>
        <v>1207</v>
      </c>
      <c r="Q13" s="26">
        <f t="shared" si="18"/>
        <v>558</v>
      </c>
      <c r="R13" s="26">
        <f t="shared" si="7"/>
        <v>7703</v>
      </c>
      <c r="S13" s="35">
        <f t="shared" si="23"/>
        <v>6418</v>
      </c>
      <c r="T13" s="35">
        <f t="shared" si="24"/>
        <v>1050</v>
      </c>
      <c r="U13" s="35">
        <f t="shared" si="19"/>
        <v>41185</v>
      </c>
      <c r="V13" s="35">
        <f t="shared" si="8"/>
        <v>48653</v>
      </c>
      <c r="W13" s="26">
        <f t="shared" si="20"/>
        <v>12906</v>
      </c>
      <c r="X13" s="26">
        <f t="shared" si="21"/>
        <v>1728</v>
      </c>
      <c r="Y13" s="26">
        <f t="shared" si="22"/>
        <v>83222</v>
      </c>
      <c r="Z13" s="26">
        <f t="shared" si="9"/>
        <v>97856</v>
      </c>
      <c r="AA13" s="163">
        <f>W13*(1/AC3)/'May 12(1)'!C12*100</f>
        <v>2.376905014043004</v>
      </c>
      <c r="AB13" s="163">
        <f>X13*(1/AC3)/'May 12(1)'!D12*100</f>
        <v>6.6382390227037</v>
      </c>
      <c r="AC13" s="163">
        <f>Y13*(1/AC3)/'May 12(1)'!E12*100</f>
        <v>2.7993626406080816</v>
      </c>
      <c r="AD13" s="163">
        <f>Z13*(1/AC3)/'May 12(1)'!F12*100</f>
        <v>2.7628132608034623</v>
      </c>
      <c r="AE13" s="35">
        <f>S13+'May 12(1)'!S12</f>
        <v>2969</v>
      </c>
      <c r="AF13" s="35">
        <f>T13+'May 12(1)'!T12</f>
        <v>259</v>
      </c>
      <c r="AG13" s="26">
        <f>U13+'May 12(1)'!U12</f>
        <v>48242</v>
      </c>
      <c r="AH13" s="26">
        <f t="shared" si="10"/>
        <v>51470</v>
      </c>
      <c r="AI13" s="26">
        <f>W13+'May 12(1)'!W12</f>
        <v>5579</v>
      </c>
      <c r="AJ13" s="26">
        <f>X13+'May 12(1)'!X12</f>
        <v>617</v>
      </c>
      <c r="AK13" s="26">
        <f>Y13+'May 12(1)'!Y12</f>
        <v>94847</v>
      </c>
      <c r="AL13" s="26">
        <f t="shared" si="11"/>
        <v>101043</v>
      </c>
      <c r="AM13" s="8"/>
      <c r="AN13" s="8"/>
      <c r="AO13" s="8"/>
      <c r="AP13" s="8"/>
      <c r="AQ13" s="42">
        <v>3554</v>
      </c>
      <c r="AR13" s="42">
        <v>159</v>
      </c>
      <c r="AS13" s="42">
        <v>41752</v>
      </c>
      <c r="AT13" s="258">
        <v>2934</v>
      </c>
      <c r="AU13" s="258">
        <v>519</v>
      </c>
      <c r="AV13" s="258">
        <v>285</v>
      </c>
      <c r="AW13" s="42">
        <v>6488</v>
      </c>
      <c r="AX13" s="42">
        <v>678</v>
      </c>
      <c r="AY13" s="42">
        <v>42037</v>
      </c>
      <c r="AZ13" s="4">
        <f t="shared" si="12"/>
        <v>0</v>
      </c>
      <c r="BA13" s="4">
        <f t="shared" si="12"/>
        <v>0</v>
      </c>
      <c r="BB13" s="4">
        <f t="shared" si="12"/>
        <v>0</v>
      </c>
    </row>
    <row r="14" spans="1:54" ht="25.5" customHeight="1">
      <c r="A14" s="60">
        <v>8</v>
      </c>
      <c r="B14" s="28" t="s">
        <v>67</v>
      </c>
      <c r="C14" s="33">
        <v>2163</v>
      </c>
      <c r="D14" s="33">
        <v>368</v>
      </c>
      <c r="E14" s="33">
        <v>10692</v>
      </c>
      <c r="F14" s="29">
        <f t="shared" si="4"/>
        <v>13223</v>
      </c>
      <c r="G14" s="29">
        <f t="shared" si="13"/>
        <v>3711</v>
      </c>
      <c r="H14" s="29">
        <f t="shared" si="14"/>
        <v>892</v>
      </c>
      <c r="I14" s="29">
        <f t="shared" si="15"/>
        <v>258711</v>
      </c>
      <c r="J14" s="29">
        <f t="shared" si="5"/>
        <v>263314</v>
      </c>
      <c r="K14" s="33">
        <v>741</v>
      </c>
      <c r="L14" s="33">
        <v>315</v>
      </c>
      <c r="M14" s="33">
        <v>148</v>
      </c>
      <c r="N14" s="29">
        <f t="shared" si="6"/>
        <v>1204</v>
      </c>
      <c r="O14" s="29">
        <f t="shared" si="16"/>
        <v>1206</v>
      </c>
      <c r="P14" s="29">
        <f t="shared" si="17"/>
        <v>1098</v>
      </c>
      <c r="Q14" s="29">
        <f t="shared" si="18"/>
        <v>299</v>
      </c>
      <c r="R14" s="29">
        <f t="shared" si="7"/>
        <v>2603</v>
      </c>
      <c r="S14" s="33">
        <f t="shared" si="23"/>
        <v>2904</v>
      </c>
      <c r="T14" s="33">
        <f t="shared" si="24"/>
        <v>683</v>
      </c>
      <c r="U14" s="33">
        <f t="shared" si="19"/>
        <v>10840</v>
      </c>
      <c r="V14" s="29">
        <f t="shared" si="8"/>
        <v>14427</v>
      </c>
      <c r="W14" s="29">
        <f t="shared" si="20"/>
        <v>4917</v>
      </c>
      <c r="X14" s="29">
        <f t="shared" si="21"/>
        <v>1990</v>
      </c>
      <c r="Y14" s="29">
        <f t="shared" si="22"/>
        <v>259010</v>
      </c>
      <c r="Z14" s="29">
        <f t="shared" si="9"/>
        <v>265917</v>
      </c>
      <c r="AA14" s="164">
        <f>W14*(1/AC3)/'May 12(1)'!C13*100</f>
        <v>1.6289817621626994</v>
      </c>
      <c r="AB14" s="164">
        <f>X14*(1/AC3)/'May 12(1)'!D13*100</f>
        <v>2.935839369753478</v>
      </c>
      <c r="AC14" s="164">
        <f>Y14*(1/AC3)/'May 12(1)'!E13*100</f>
        <v>16.089646308562653</v>
      </c>
      <c r="AD14" s="164">
        <f>Z14*(1/AC3)/'May 12(1)'!F13*100</f>
        <v>13.434079965808182</v>
      </c>
      <c r="AE14" s="29">
        <f>S14+'May 12(1)'!S13</f>
        <v>854</v>
      </c>
      <c r="AF14" s="29">
        <f>T14+'May 12(1)'!T13</f>
        <v>304</v>
      </c>
      <c r="AG14" s="29">
        <f>U14+'May 12(1)'!U13</f>
        <v>23641</v>
      </c>
      <c r="AH14" s="29">
        <f>SUM(AE14:AG14)</f>
        <v>24799</v>
      </c>
      <c r="AI14" s="29">
        <f>W14+'May 12(1)'!W13</f>
        <v>1294</v>
      </c>
      <c r="AJ14" s="29">
        <f>X14+'May 12(1)'!X13</f>
        <v>440</v>
      </c>
      <c r="AK14" s="29">
        <f>Y14+'May 12(1)'!Y13</f>
        <v>45474</v>
      </c>
      <c r="AL14" s="29">
        <f t="shared" si="11"/>
        <v>47208</v>
      </c>
      <c r="AM14" s="8"/>
      <c r="AN14" s="8"/>
      <c r="AO14" s="8"/>
      <c r="AP14" s="8"/>
      <c r="AQ14" s="42">
        <v>1548</v>
      </c>
      <c r="AR14" s="42">
        <v>524</v>
      </c>
      <c r="AS14" s="42">
        <v>248019</v>
      </c>
      <c r="AT14" s="258">
        <v>465</v>
      </c>
      <c r="AU14" s="258">
        <v>783</v>
      </c>
      <c r="AV14" s="258">
        <v>151</v>
      </c>
      <c r="AW14" s="42">
        <v>2013</v>
      </c>
      <c r="AX14" s="42">
        <v>1307</v>
      </c>
      <c r="AY14" s="42">
        <v>248170</v>
      </c>
      <c r="AZ14" s="4">
        <f t="shared" si="12"/>
        <v>0</v>
      </c>
      <c r="BA14" s="4">
        <f t="shared" si="12"/>
        <v>0</v>
      </c>
      <c r="BB14" s="4">
        <f t="shared" si="12"/>
        <v>0</v>
      </c>
    </row>
    <row r="15" spans="1:54" ht="25.5" customHeight="1">
      <c r="A15" s="30">
        <v>9</v>
      </c>
      <c r="B15" s="31" t="s">
        <v>33</v>
      </c>
      <c r="C15" s="34">
        <v>1756</v>
      </c>
      <c r="D15" s="34">
        <v>2461</v>
      </c>
      <c r="E15" s="34">
        <v>20847</v>
      </c>
      <c r="F15" s="32">
        <f t="shared" si="4"/>
        <v>25064</v>
      </c>
      <c r="G15" s="32">
        <f t="shared" si="13"/>
        <v>3426</v>
      </c>
      <c r="H15" s="32">
        <f t="shared" si="14"/>
        <v>2953</v>
      </c>
      <c r="I15" s="32">
        <f t="shared" si="15"/>
        <v>34803</v>
      </c>
      <c r="J15" s="32">
        <f t="shared" si="5"/>
        <v>41182</v>
      </c>
      <c r="K15" s="233"/>
      <c r="L15" s="233"/>
      <c r="M15" s="233"/>
      <c r="N15" s="32">
        <f t="shared" si="6"/>
        <v>0</v>
      </c>
      <c r="O15" s="32">
        <f t="shared" si="16"/>
        <v>0</v>
      </c>
      <c r="P15" s="32">
        <f t="shared" si="17"/>
        <v>0</v>
      </c>
      <c r="Q15" s="32">
        <f t="shared" si="18"/>
        <v>0</v>
      </c>
      <c r="R15" s="32">
        <f t="shared" si="7"/>
        <v>0</v>
      </c>
      <c r="S15" s="34">
        <f t="shared" si="23"/>
        <v>1756</v>
      </c>
      <c r="T15" s="34">
        <f t="shared" si="24"/>
        <v>2461</v>
      </c>
      <c r="U15" s="34">
        <f t="shared" si="19"/>
        <v>20847</v>
      </c>
      <c r="V15" s="32">
        <f t="shared" si="8"/>
        <v>25064</v>
      </c>
      <c r="W15" s="32">
        <f t="shared" si="20"/>
        <v>3426</v>
      </c>
      <c r="X15" s="32">
        <f t="shared" si="21"/>
        <v>2953</v>
      </c>
      <c r="Y15" s="32">
        <f t="shared" si="22"/>
        <v>34803</v>
      </c>
      <c r="Z15" s="32">
        <f t="shared" si="9"/>
        <v>41182</v>
      </c>
      <c r="AA15" s="165">
        <f>W15*(1/AC3)/'May 12(1)'!C14*100</f>
        <v>1.6796670082218377</v>
      </c>
      <c r="AB15" s="165">
        <f>X15*(1/AC3)/'May 12(1)'!D14*100</f>
        <v>3.8585671165932762</v>
      </c>
      <c r="AC15" s="165">
        <f>Y15*(1/AC3)/'May 12(1)'!E14*100</f>
        <v>3.588293274385919</v>
      </c>
      <c r="AD15" s="165">
        <f>Z15*(1/AC3)/'May 12(1)'!F14*100</f>
        <v>3.293495542240748</v>
      </c>
      <c r="AE15" s="32">
        <f>S15+'May 12(1)'!S14</f>
        <v>1432</v>
      </c>
      <c r="AF15" s="32">
        <f>T15+'May 12(1)'!T14</f>
        <v>1468</v>
      </c>
      <c r="AG15" s="32">
        <f>U15+'May 12(1)'!U14</f>
        <v>42460</v>
      </c>
      <c r="AH15" s="32">
        <f t="shared" si="10"/>
        <v>45360</v>
      </c>
      <c r="AI15" s="32">
        <f>W15+'May 12(1)'!W14</f>
        <v>3066</v>
      </c>
      <c r="AJ15" s="32">
        <f>X15+'May 12(1)'!X14</f>
        <v>2752</v>
      </c>
      <c r="AK15" s="32">
        <f>Y15+'May 12(1)'!Y14</f>
        <v>77524</v>
      </c>
      <c r="AL15" s="32">
        <f t="shared" si="11"/>
        <v>83342</v>
      </c>
      <c r="AM15" s="8"/>
      <c r="AN15" s="8"/>
      <c r="AO15" s="8"/>
      <c r="AP15" s="8"/>
      <c r="AQ15" s="42">
        <v>1670</v>
      </c>
      <c r="AR15" s="42">
        <v>492</v>
      </c>
      <c r="AS15" s="42">
        <v>13956</v>
      </c>
      <c r="AT15" s="258">
        <v>0</v>
      </c>
      <c r="AU15" s="258">
        <v>0</v>
      </c>
      <c r="AV15" s="258">
        <v>0</v>
      </c>
      <c r="AW15" s="42">
        <v>1670</v>
      </c>
      <c r="AX15" s="42">
        <v>492</v>
      </c>
      <c r="AY15" s="42">
        <v>13956</v>
      </c>
      <c r="AZ15" s="4">
        <f t="shared" si="12"/>
        <v>0</v>
      </c>
      <c r="BA15" s="4">
        <f t="shared" si="12"/>
        <v>0</v>
      </c>
      <c r="BB15" s="4">
        <f t="shared" si="12"/>
        <v>0</v>
      </c>
    </row>
    <row r="16" spans="1:54" ht="25.5" customHeight="1">
      <c r="A16" s="24">
        <v>10</v>
      </c>
      <c r="B16" s="44" t="s">
        <v>6</v>
      </c>
      <c r="C16" s="35">
        <v>53740</v>
      </c>
      <c r="D16" s="35">
        <v>93</v>
      </c>
      <c r="E16" s="35">
        <v>10700</v>
      </c>
      <c r="F16" s="26">
        <f t="shared" si="4"/>
        <v>64533</v>
      </c>
      <c r="G16" s="26">
        <f t="shared" si="13"/>
        <v>78128</v>
      </c>
      <c r="H16" s="26">
        <f t="shared" si="14"/>
        <v>163</v>
      </c>
      <c r="I16" s="26">
        <f t="shared" si="15"/>
        <v>79095</v>
      </c>
      <c r="J16" s="26">
        <f t="shared" si="5"/>
        <v>157386</v>
      </c>
      <c r="K16" s="231"/>
      <c r="L16" s="231"/>
      <c r="M16" s="231"/>
      <c r="N16" s="26">
        <f t="shared" si="6"/>
        <v>0</v>
      </c>
      <c r="O16" s="26">
        <f t="shared" si="16"/>
        <v>0</v>
      </c>
      <c r="P16" s="26">
        <f t="shared" si="17"/>
        <v>0</v>
      </c>
      <c r="Q16" s="26">
        <f t="shared" si="18"/>
        <v>0</v>
      </c>
      <c r="R16" s="26">
        <f t="shared" si="7"/>
        <v>0</v>
      </c>
      <c r="S16" s="35">
        <f t="shared" si="23"/>
        <v>53740</v>
      </c>
      <c r="T16" s="35">
        <f t="shared" si="24"/>
        <v>93</v>
      </c>
      <c r="U16" s="35">
        <f t="shared" si="19"/>
        <v>10700</v>
      </c>
      <c r="V16" s="26">
        <f t="shared" si="8"/>
        <v>64533</v>
      </c>
      <c r="W16" s="26">
        <f t="shared" si="20"/>
        <v>78128</v>
      </c>
      <c r="X16" s="26">
        <f t="shared" si="21"/>
        <v>163</v>
      </c>
      <c r="Y16" s="26">
        <f t="shared" si="22"/>
        <v>79095</v>
      </c>
      <c r="Z16" s="26">
        <f t="shared" si="9"/>
        <v>157386</v>
      </c>
      <c r="AA16" s="163">
        <f>W16*(1/AC3)/'May 12(1)'!C15*100</f>
        <v>36.273312688323806</v>
      </c>
      <c r="AB16" s="163">
        <f>X16*(1/AC3)/'May 12(1)'!D15*100</f>
        <v>0.15867453225084205</v>
      </c>
      <c r="AC16" s="163">
        <f>Y16*(1/AC3)/'May 12(1)'!E15*100</f>
        <v>4.940377553652707</v>
      </c>
      <c r="AD16" s="163">
        <f>Z16*(1/AC3)/'May 12(1)'!F15*100</f>
        <v>8.201014640165411</v>
      </c>
      <c r="AE16" s="26">
        <f>S16+'May 12(1)'!S15</f>
        <v>30383</v>
      </c>
      <c r="AF16" s="26">
        <f>T16+'May 12(1)'!T15</f>
        <v>81</v>
      </c>
      <c r="AG16" s="26">
        <f>U16+'May 12(1)'!U15</f>
        <v>11516</v>
      </c>
      <c r="AH16" s="26">
        <f t="shared" si="10"/>
        <v>41980</v>
      </c>
      <c r="AI16" s="26">
        <f>W16+'May 12(1)'!W15</f>
        <v>30383</v>
      </c>
      <c r="AJ16" s="26">
        <f>X16+'May 12(1)'!X15</f>
        <v>163</v>
      </c>
      <c r="AK16" s="26">
        <f>Y16+'May 12(1)'!Y15</f>
        <v>84840</v>
      </c>
      <c r="AL16" s="26">
        <f t="shared" si="11"/>
        <v>115386</v>
      </c>
      <c r="AM16" s="8"/>
      <c r="AN16" s="8"/>
      <c r="AO16" s="8"/>
      <c r="AP16" s="8"/>
      <c r="AQ16" s="42">
        <v>24388</v>
      </c>
      <c r="AR16" s="42">
        <v>70</v>
      </c>
      <c r="AS16" s="42">
        <v>68395</v>
      </c>
      <c r="AT16" s="258">
        <v>0</v>
      </c>
      <c r="AU16" s="258">
        <v>0</v>
      </c>
      <c r="AV16" s="258">
        <v>0</v>
      </c>
      <c r="AW16" s="42">
        <v>24388</v>
      </c>
      <c r="AX16" s="42">
        <v>70</v>
      </c>
      <c r="AY16" s="42">
        <v>68395</v>
      </c>
      <c r="AZ16" s="4">
        <f t="shared" si="12"/>
        <v>0</v>
      </c>
      <c r="BA16" s="4">
        <f t="shared" si="12"/>
        <v>0</v>
      </c>
      <c r="BB16" s="4">
        <f t="shared" si="12"/>
        <v>0</v>
      </c>
    </row>
    <row r="17" spans="1:54" ht="25.5" customHeight="1">
      <c r="A17" s="60">
        <v>11</v>
      </c>
      <c r="B17" s="28" t="s">
        <v>34</v>
      </c>
      <c r="C17" s="33">
        <v>14209</v>
      </c>
      <c r="D17" s="33">
        <v>2586</v>
      </c>
      <c r="E17" s="33">
        <v>101859</v>
      </c>
      <c r="F17" s="29">
        <f t="shared" si="4"/>
        <v>118654</v>
      </c>
      <c r="G17" s="29">
        <f t="shared" si="13"/>
        <v>28436</v>
      </c>
      <c r="H17" s="29">
        <f t="shared" si="14"/>
        <v>3924</v>
      </c>
      <c r="I17" s="29">
        <f t="shared" si="15"/>
        <v>165873</v>
      </c>
      <c r="J17" s="29">
        <f t="shared" si="5"/>
        <v>198233</v>
      </c>
      <c r="K17" s="33">
        <v>146325</v>
      </c>
      <c r="L17" s="33">
        <v>3937</v>
      </c>
      <c r="M17" s="33">
        <v>25866</v>
      </c>
      <c r="N17" s="29">
        <f t="shared" si="6"/>
        <v>176128</v>
      </c>
      <c r="O17" s="29">
        <f t="shared" si="16"/>
        <v>214129</v>
      </c>
      <c r="P17" s="29">
        <f t="shared" si="17"/>
        <v>4464</v>
      </c>
      <c r="Q17" s="29">
        <f t="shared" si="18"/>
        <v>42345</v>
      </c>
      <c r="R17" s="29">
        <f t="shared" si="7"/>
        <v>260938</v>
      </c>
      <c r="S17" s="33">
        <f t="shared" si="23"/>
        <v>160534</v>
      </c>
      <c r="T17" s="33">
        <f t="shared" si="24"/>
        <v>6523</v>
      </c>
      <c r="U17" s="33">
        <f t="shared" si="19"/>
        <v>127725</v>
      </c>
      <c r="V17" s="29">
        <f t="shared" si="8"/>
        <v>294782</v>
      </c>
      <c r="W17" s="29">
        <f t="shared" si="20"/>
        <v>242565</v>
      </c>
      <c r="X17" s="29">
        <f t="shared" si="21"/>
        <v>8388</v>
      </c>
      <c r="Y17" s="29">
        <f t="shared" si="22"/>
        <v>208218</v>
      </c>
      <c r="Z17" s="29">
        <f t="shared" si="9"/>
        <v>459171</v>
      </c>
      <c r="AA17" s="164">
        <f>W17*(1/AC3)/'May 12(1)'!C16*100</f>
        <v>12.35529711747936</v>
      </c>
      <c r="AB17" s="164">
        <f>X17*(1/AC3)/'May 12(1)'!D16*100</f>
        <v>2.3189591776928733</v>
      </c>
      <c r="AC17" s="164">
        <f>Y17*(1/AC3)/'May 12(1)'!E16*100</f>
        <v>3.1774580518707998</v>
      </c>
      <c r="AD17" s="164">
        <f>Z17*(1/AC3)/'May 12(1)'!F16*100</f>
        <v>5.172047328573593</v>
      </c>
      <c r="AE17" s="29">
        <f>S17+'May 12(1)'!S16</f>
        <v>17113</v>
      </c>
      <c r="AF17" s="29">
        <f>T17+'May 12(1)'!T16</f>
        <v>928</v>
      </c>
      <c r="AG17" s="29">
        <f>U17+'May 12(1)'!U16</f>
        <v>111082</v>
      </c>
      <c r="AH17" s="29">
        <f t="shared" si="10"/>
        <v>129123</v>
      </c>
      <c r="AI17" s="29">
        <f>W17+'May 12(1)'!W16</f>
        <v>24862</v>
      </c>
      <c r="AJ17" s="29">
        <f>X17+'May 12(1)'!X16</f>
        <v>1870</v>
      </c>
      <c r="AK17" s="29">
        <f>Y17+'May 12(1)'!Y16</f>
        <v>258789</v>
      </c>
      <c r="AL17" s="29">
        <f t="shared" si="11"/>
        <v>285521</v>
      </c>
      <c r="AM17" s="8"/>
      <c r="AN17" s="8"/>
      <c r="AO17" s="8"/>
      <c r="AP17" s="8"/>
      <c r="AQ17" s="42">
        <v>14227</v>
      </c>
      <c r="AR17" s="42">
        <v>1338</v>
      </c>
      <c r="AS17" s="42">
        <v>64014</v>
      </c>
      <c r="AT17" s="258">
        <v>67804</v>
      </c>
      <c r="AU17" s="258">
        <v>527</v>
      </c>
      <c r="AV17" s="258">
        <v>16479</v>
      </c>
      <c r="AW17" s="42">
        <v>82031</v>
      </c>
      <c r="AX17" s="42">
        <v>1865</v>
      </c>
      <c r="AY17" s="42">
        <v>80493</v>
      </c>
      <c r="AZ17" s="4">
        <f t="shared" si="12"/>
        <v>0</v>
      </c>
      <c r="BA17" s="4">
        <f t="shared" si="12"/>
        <v>0</v>
      </c>
      <c r="BB17" s="4">
        <f t="shared" si="12"/>
        <v>0</v>
      </c>
    </row>
    <row r="18" spans="1:54" ht="25.5" customHeight="1">
      <c r="A18" s="30">
        <v>12</v>
      </c>
      <c r="B18" s="31" t="s">
        <v>35</v>
      </c>
      <c r="C18" s="34">
        <v>9558</v>
      </c>
      <c r="D18" s="34">
        <v>7604</v>
      </c>
      <c r="E18" s="34">
        <v>2047</v>
      </c>
      <c r="F18" s="32">
        <f t="shared" si="4"/>
        <v>19209</v>
      </c>
      <c r="G18" s="32">
        <f t="shared" si="13"/>
        <v>15627</v>
      </c>
      <c r="H18" s="32">
        <f t="shared" si="14"/>
        <v>13736</v>
      </c>
      <c r="I18" s="32">
        <f t="shared" si="15"/>
        <v>3706</v>
      </c>
      <c r="J18" s="32">
        <f t="shared" si="5"/>
        <v>33069</v>
      </c>
      <c r="K18" s="34">
        <v>5972</v>
      </c>
      <c r="L18" s="34">
        <v>0</v>
      </c>
      <c r="M18" s="34">
        <v>286</v>
      </c>
      <c r="N18" s="32">
        <f t="shared" si="6"/>
        <v>6258</v>
      </c>
      <c r="O18" s="32">
        <f t="shared" si="16"/>
        <v>11938</v>
      </c>
      <c r="P18" s="32">
        <f t="shared" si="17"/>
        <v>0</v>
      </c>
      <c r="Q18" s="32">
        <f t="shared" si="18"/>
        <v>286</v>
      </c>
      <c r="R18" s="32">
        <f t="shared" si="7"/>
        <v>12224</v>
      </c>
      <c r="S18" s="34">
        <f t="shared" si="23"/>
        <v>15530</v>
      </c>
      <c r="T18" s="34">
        <f t="shared" si="24"/>
        <v>7604</v>
      </c>
      <c r="U18" s="34">
        <f t="shared" si="19"/>
        <v>2333</v>
      </c>
      <c r="V18" s="32">
        <f t="shared" si="8"/>
        <v>25467</v>
      </c>
      <c r="W18" s="32">
        <f t="shared" si="20"/>
        <v>27565</v>
      </c>
      <c r="X18" s="32">
        <f t="shared" si="21"/>
        <v>13736</v>
      </c>
      <c r="Y18" s="32">
        <f t="shared" si="22"/>
        <v>3992</v>
      </c>
      <c r="Z18" s="32">
        <f t="shared" si="9"/>
        <v>45293</v>
      </c>
      <c r="AA18" s="165">
        <f>W18*(1/AC3)/'May 12(1)'!C17*100</f>
        <v>0.8992348103859092</v>
      </c>
      <c r="AB18" s="165">
        <f>X18*(1/AC3)/'May 12(1)'!D17*100</f>
        <v>4.078639107545304</v>
      </c>
      <c r="AC18" s="165">
        <f>Y18*(1/AC3)/'May 12(1)'!E17*100</f>
        <v>0.05891667408290632</v>
      </c>
      <c r="AD18" s="165">
        <f>Z18*(1/AC3)/'May 12(1)'!F17*100</f>
        <v>0.4450161006752517</v>
      </c>
      <c r="AE18" s="32">
        <f>S18+'May 12(1)'!S17</f>
        <v>7012</v>
      </c>
      <c r="AF18" s="32">
        <f>T18+'May 12(1)'!T17</f>
        <v>2509</v>
      </c>
      <c r="AG18" s="32">
        <f>U18+'May 12(1)'!U17</f>
        <v>78723</v>
      </c>
      <c r="AH18" s="32">
        <f t="shared" si="10"/>
        <v>88244</v>
      </c>
      <c r="AI18" s="32">
        <f>W18+'May 12(1)'!W17</f>
        <v>12914</v>
      </c>
      <c r="AJ18" s="32">
        <f>X18+'May 12(1)'!X17</f>
        <v>4258</v>
      </c>
      <c r="AK18" s="32">
        <f>Y18+'May 12(1)'!Y17</f>
        <v>163355</v>
      </c>
      <c r="AL18" s="32">
        <f t="shared" si="11"/>
        <v>180527</v>
      </c>
      <c r="AM18" s="8"/>
      <c r="AN18" s="8"/>
      <c r="AO18" s="8"/>
      <c r="AP18" s="8"/>
      <c r="AQ18" s="42">
        <v>6069</v>
      </c>
      <c r="AR18" s="42">
        <v>6132</v>
      </c>
      <c r="AS18" s="42">
        <v>1659</v>
      </c>
      <c r="AT18" s="258">
        <v>5966</v>
      </c>
      <c r="AU18" s="258">
        <v>0</v>
      </c>
      <c r="AV18" s="258">
        <v>0</v>
      </c>
      <c r="AW18" s="42">
        <v>12035</v>
      </c>
      <c r="AX18" s="42">
        <v>6132</v>
      </c>
      <c r="AY18" s="42">
        <v>1659</v>
      </c>
      <c r="AZ18" s="4">
        <f t="shared" si="12"/>
        <v>0</v>
      </c>
      <c r="BA18" s="4">
        <f t="shared" si="12"/>
        <v>0</v>
      </c>
      <c r="BB18" s="4">
        <f t="shared" si="12"/>
        <v>0</v>
      </c>
    </row>
    <row r="19" spans="1:54" ht="25.5" customHeight="1">
      <c r="A19" s="24">
        <v>13</v>
      </c>
      <c r="B19" s="25" t="s">
        <v>68</v>
      </c>
      <c r="C19" s="35">
        <v>3365</v>
      </c>
      <c r="D19" s="35">
        <v>1370</v>
      </c>
      <c r="E19" s="35">
        <v>116454</v>
      </c>
      <c r="F19" s="26">
        <f t="shared" si="4"/>
        <v>121189</v>
      </c>
      <c r="G19" s="26">
        <f t="shared" si="13"/>
        <v>6644</v>
      </c>
      <c r="H19" s="26">
        <f t="shared" si="14"/>
        <v>4679</v>
      </c>
      <c r="I19" s="26">
        <f t="shared" si="15"/>
        <v>165818</v>
      </c>
      <c r="J19" s="26">
        <f t="shared" si="5"/>
        <v>177141</v>
      </c>
      <c r="K19" s="35">
        <v>3804</v>
      </c>
      <c r="L19" s="35">
        <v>0</v>
      </c>
      <c r="M19" s="35">
        <v>1931</v>
      </c>
      <c r="N19" s="26">
        <f t="shared" si="6"/>
        <v>5735</v>
      </c>
      <c r="O19" s="26">
        <f t="shared" si="16"/>
        <v>5976</v>
      </c>
      <c r="P19" s="26">
        <f t="shared" si="17"/>
        <v>0</v>
      </c>
      <c r="Q19" s="26">
        <f t="shared" si="18"/>
        <v>4088</v>
      </c>
      <c r="R19" s="26">
        <f t="shared" si="7"/>
        <v>10064</v>
      </c>
      <c r="S19" s="35">
        <f t="shared" si="23"/>
        <v>7169</v>
      </c>
      <c r="T19" s="35">
        <f t="shared" si="24"/>
        <v>1370</v>
      </c>
      <c r="U19" s="35">
        <f t="shared" si="19"/>
        <v>118385</v>
      </c>
      <c r="V19" s="26">
        <f t="shared" si="8"/>
        <v>126924</v>
      </c>
      <c r="W19" s="26">
        <f t="shared" si="20"/>
        <v>12620</v>
      </c>
      <c r="X19" s="26">
        <f t="shared" si="21"/>
        <v>4679</v>
      </c>
      <c r="Y19" s="26">
        <f t="shared" si="22"/>
        <v>169906</v>
      </c>
      <c r="Z19" s="26">
        <f t="shared" si="9"/>
        <v>187205</v>
      </c>
      <c r="AA19" s="163">
        <f>W19*(1/AC3)/'May 12(1)'!C18*100</f>
        <v>1.7928301002251692</v>
      </c>
      <c r="AB19" s="163">
        <f>X19*(1/AC3)/'May 12(1)'!D18*100</f>
        <v>3.082121848877881</v>
      </c>
      <c r="AC19" s="163">
        <f>Y19*(1/AC3)/'May 12(1)'!E18*100</f>
        <v>5.378789197847928</v>
      </c>
      <c r="AD19" s="163">
        <f>Z19*(1/AC3)/'May 12(1)'!F18*100</f>
        <v>4.663173199626059</v>
      </c>
      <c r="AE19" s="26">
        <f>S19+'May 12(1)'!S18</f>
        <v>2813</v>
      </c>
      <c r="AF19" s="26">
        <f>T19+'May 12(1)'!T18</f>
        <v>195</v>
      </c>
      <c r="AG19" s="26">
        <f>U19+'May 12(1)'!U18</f>
        <v>41801</v>
      </c>
      <c r="AH19" s="26">
        <f t="shared" si="10"/>
        <v>44809</v>
      </c>
      <c r="AI19" s="26">
        <f>W19+'May 12(1)'!W18</f>
        <v>4868</v>
      </c>
      <c r="AJ19" s="26">
        <f>X19+'May 12(1)'!X18</f>
        <v>4818</v>
      </c>
      <c r="AK19" s="26">
        <f>Y19+'May 12(1)'!Y18</f>
        <v>104959</v>
      </c>
      <c r="AL19" s="26">
        <f t="shared" si="11"/>
        <v>114645</v>
      </c>
      <c r="AM19" s="8"/>
      <c r="AN19" s="8"/>
      <c r="AO19" s="8"/>
      <c r="AP19" s="8"/>
      <c r="AQ19" s="42">
        <v>3279</v>
      </c>
      <c r="AR19" s="42">
        <v>3309</v>
      </c>
      <c r="AS19" s="42">
        <v>49364</v>
      </c>
      <c r="AT19" s="258">
        <v>2172</v>
      </c>
      <c r="AU19" s="258">
        <v>0</v>
      </c>
      <c r="AV19" s="258">
        <v>2157</v>
      </c>
      <c r="AW19" s="42">
        <v>5451</v>
      </c>
      <c r="AX19" s="42">
        <v>3309</v>
      </c>
      <c r="AY19" s="42">
        <v>51521</v>
      </c>
      <c r="AZ19" s="4">
        <f t="shared" si="12"/>
        <v>0</v>
      </c>
      <c r="BA19" s="4">
        <f t="shared" si="12"/>
        <v>0</v>
      </c>
      <c r="BB19" s="4">
        <f t="shared" si="12"/>
        <v>0</v>
      </c>
    </row>
    <row r="20" spans="1:54" ht="25.5" customHeight="1">
      <c r="A20" s="27">
        <v>14</v>
      </c>
      <c r="B20" s="28" t="s">
        <v>36</v>
      </c>
      <c r="C20" s="33">
        <v>10616</v>
      </c>
      <c r="D20" s="33">
        <v>3666</v>
      </c>
      <c r="E20" s="33">
        <v>103692</v>
      </c>
      <c r="F20" s="29">
        <f t="shared" si="4"/>
        <v>117974</v>
      </c>
      <c r="G20" s="33">
        <f aca="true" t="shared" si="25" ref="G20:I21">C20+AQ20</f>
        <v>19879</v>
      </c>
      <c r="H20" s="33">
        <f t="shared" si="25"/>
        <v>6919</v>
      </c>
      <c r="I20" s="33">
        <f t="shared" si="25"/>
        <v>694691</v>
      </c>
      <c r="J20" s="170">
        <f t="shared" si="5"/>
        <v>721489</v>
      </c>
      <c r="K20" s="33">
        <v>5460</v>
      </c>
      <c r="L20" s="33">
        <v>2569</v>
      </c>
      <c r="M20" s="33">
        <v>3216</v>
      </c>
      <c r="N20" s="29">
        <f t="shared" si="6"/>
        <v>11245</v>
      </c>
      <c r="O20" s="29">
        <f>K20+AT20</f>
        <v>10162</v>
      </c>
      <c r="P20" s="29">
        <f>L20+AU20</f>
        <v>5451</v>
      </c>
      <c r="Q20" s="29">
        <f>M20+AV20</f>
        <v>6196</v>
      </c>
      <c r="R20" s="170">
        <f>SUM(O20:Q20)</f>
        <v>21809</v>
      </c>
      <c r="S20" s="33">
        <f>K20+C20</f>
        <v>16076</v>
      </c>
      <c r="T20" s="33">
        <f t="shared" si="24"/>
        <v>6235</v>
      </c>
      <c r="U20" s="33">
        <f t="shared" si="19"/>
        <v>106908</v>
      </c>
      <c r="V20" s="29">
        <f t="shared" si="8"/>
        <v>129219</v>
      </c>
      <c r="W20" s="29">
        <f>S20+AW20</f>
        <v>30041</v>
      </c>
      <c r="X20" s="29">
        <f t="shared" si="21"/>
        <v>12370</v>
      </c>
      <c r="Y20" s="29">
        <f t="shared" si="22"/>
        <v>700887</v>
      </c>
      <c r="Z20" s="29">
        <f t="shared" si="9"/>
        <v>743298</v>
      </c>
      <c r="AA20" s="164">
        <f>W20*(1/AC3)/'May 12(1)'!C19*100</f>
        <v>1.3410041215309259</v>
      </c>
      <c r="AB20" s="164">
        <f>X20*(1/AC3)/'May 12(1)'!D19*100</f>
        <v>6.003572052571295</v>
      </c>
      <c r="AC20" s="164">
        <f>Y20*(1/AC3)/'May 12(1)'!E19*100</f>
        <v>11.642600582290328</v>
      </c>
      <c r="AD20" s="164">
        <f>Z20*(1/AC3)/'May 12(1)'!F19*100</f>
        <v>8.779540226300847</v>
      </c>
      <c r="AE20" s="29">
        <f>S20+'May 12(1)'!S19</f>
        <v>8341</v>
      </c>
      <c r="AF20" s="29">
        <f>T20+'May 12(1)'!T19</f>
        <v>1560</v>
      </c>
      <c r="AG20" s="29">
        <f>U20+'May 12(1)'!U19</f>
        <v>285346</v>
      </c>
      <c r="AH20" s="29">
        <f t="shared" si="10"/>
        <v>295247</v>
      </c>
      <c r="AI20" s="29">
        <f>W20+'May 12(1)'!W19</f>
        <v>15794</v>
      </c>
      <c r="AJ20" s="29">
        <f>X20+'May 12(1)'!X19</f>
        <v>2794</v>
      </c>
      <c r="AK20" s="29">
        <f>Y20+'May 12(1)'!Y19</f>
        <v>441388</v>
      </c>
      <c r="AL20" s="29">
        <f t="shared" si="11"/>
        <v>459976</v>
      </c>
      <c r="AM20" s="8"/>
      <c r="AN20" s="8"/>
      <c r="AO20" s="8"/>
      <c r="AP20" s="8"/>
      <c r="AQ20" s="42">
        <v>9263</v>
      </c>
      <c r="AR20" s="42">
        <v>3253</v>
      </c>
      <c r="AS20" s="42">
        <v>590999</v>
      </c>
      <c r="AT20" s="258">
        <v>4702</v>
      </c>
      <c r="AU20" s="258">
        <v>2882</v>
      </c>
      <c r="AV20" s="258">
        <v>2980</v>
      </c>
      <c r="AW20" s="42">
        <v>13965</v>
      </c>
      <c r="AX20" s="42">
        <v>6135</v>
      </c>
      <c r="AY20" s="42">
        <v>593979</v>
      </c>
      <c r="AZ20" s="4">
        <f t="shared" si="12"/>
        <v>0</v>
      </c>
      <c r="BA20" s="4">
        <f t="shared" si="12"/>
        <v>0</v>
      </c>
      <c r="BB20" s="4">
        <f t="shared" si="12"/>
        <v>0</v>
      </c>
    </row>
    <row r="21" spans="1:54" ht="25.5" customHeight="1">
      <c r="A21" s="30">
        <v>15</v>
      </c>
      <c r="B21" s="31" t="s">
        <v>13</v>
      </c>
      <c r="C21" s="34">
        <v>583</v>
      </c>
      <c r="D21" s="34">
        <v>85</v>
      </c>
      <c r="E21" s="34">
        <v>63</v>
      </c>
      <c r="F21" s="32">
        <f t="shared" si="4"/>
        <v>731</v>
      </c>
      <c r="G21" s="33">
        <f t="shared" si="25"/>
        <v>1451</v>
      </c>
      <c r="H21" s="33">
        <f t="shared" si="25"/>
        <v>213</v>
      </c>
      <c r="I21" s="33">
        <f t="shared" si="25"/>
        <v>161</v>
      </c>
      <c r="J21" s="32">
        <f t="shared" si="5"/>
        <v>1825</v>
      </c>
      <c r="K21" s="233"/>
      <c r="L21" s="233"/>
      <c r="M21" s="233"/>
      <c r="N21" s="29">
        <f t="shared" si="6"/>
        <v>0</v>
      </c>
      <c r="O21" s="32">
        <f t="shared" si="16"/>
        <v>0</v>
      </c>
      <c r="P21" s="32">
        <f t="shared" si="17"/>
        <v>0</v>
      </c>
      <c r="Q21" s="32">
        <f t="shared" si="18"/>
        <v>0</v>
      </c>
      <c r="R21" s="32">
        <f t="shared" si="7"/>
        <v>0</v>
      </c>
      <c r="S21" s="34">
        <f t="shared" si="23"/>
        <v>583</v>
      </c>
      <c r="T21" s="34">
        <f t="shared" si="24"/>
        <v>85</v>
      </c>
      <c r="U21" s="34">
        <f t="shared" si="19"/>
        <v>63</v>
      </c>
      <c r="V21" s="32">
        <f t="shared" si="8"/>
        <v>731</v>
      </c>
      <c r="W21" s="32">
        <f t="shared" si="20"/>
        <v>1451</v>
      </c>
      <c r="X21" s="32">
        <f t="shared" si="21"/>
        <v>213</v>
      </c>
      <c r="Y21" s="32">
        <f t="shared" si="22"/>
        <v>161</v>
      </c>
      <c r="Z21" s="32">
        <f t="shared" si="9"/>
        <v>1825</v>
      </c>
      <c r="AA21" s="165">
        <f>W21*(1/AC3)/'May 12(1)'!C20*100</f>
        <v>1.0290050351038935</v>
      </c>
      <c r="AB21" s="165">
        <f>X21*(1/AC3)/'May 12(1)'!D20*100</f>
        <v>0.2809729843815956</v>
      </c>
      <c r="AC21" s="165">
        <f>Y21*(1/AC3)/'May 12(1)'!E20*100</f>
        <v>0.02196375026261006</v>
      </c>
      <c r="AD21" s="165">
        <f>Z21*(1/AC3)/'May 12(1)'!F20*100</f>
        <v>0.19213681404525376</v>
      </c>
      <c r="AE21" s="32">
        <f>S21+'May 12(1)'!S20</f>
        <v>330</v>
      </c>
      <c r="AF21" s="32">
        <f>T21+'May 12(1)'!T20</f>
        <v>321</v>
      </c>
      <c r="AG21" s="32">
        <f>U21+'May 12(1)'!U20</f>
        <v>13785</v>
      </c>
      <c r="AH21" s="32">
        <f t="shared" si="10"/>
        <v>14436</v>
      </c>
      <c r="AI21" s="32">
        <f>W21+'May 12(1)'!W20</f>
        <v>898</v>
      </c>
      <c r="AJ21" s="32">
        <f>X21+'May 12(1)'!X20</f>
        <v>553</v>
      </c>
      <c r="AK21" s="32">
        <f>Y21+'May 12(1)'!Y20</f>
        <v>28436</v>
      </c>
      <c r="AL21" s="32">
        <f t="shared" si="11"/>
        <v>29887</v>
      </c>
      <c r="AM21" s="8"/>
      <c r="AN21" s="8"/>
      <c r="AO21" s="8"/>
      <c r="AP21" s="8"/>
      <c r="AQ21" s="42">
        <v>868</v>
      </c>
      <c r="AR21" s="42">
        <v>128</v>
      </c>
      <c r="AS21" s="42">
        <v>98</v>
      </c>
      <c r="AT21" s="258">
        <v>0</v>
      </c>
      <c r="AU21" s="258">
        <v>0</v>
      </c>
      <c r="AV21" s="258">
        <v>0</v>
      </c>
      <c r="AW21" s="42">
        <v>868</v>
      </c>
      <c r="AX21" s="42">
        <v>128</v>
      </c>
      <c r="AY21" s="42">
        <v>98</v>
      </c>
      <c r="AZ21" s="4">
        <f t="shared" si="12"/>
        <v>0</v>
      </c>
      <c r="BA21" s="4">
        <f t="shared" si="12"/>
        <v>0</v>
      </c>
      <c r="BB21" s="4">
        <f t="shared" si="12"/>
        <v>0</v>
      </c>
    </row>
    <row r="22" spans="1:54" ht="25.5" customHeight="1">
      <c r="A22" s="60">
        <v>16</v>
      </c>
      <c r="B22" s="45" t="s">
        <v>12</v>
      </c>
      <c r="C22" s="33">
        <v>106</v>
      </c>
      <c r="D22" s="33">
        <v>23</v>
      </c>
      <c r="E22" s="33">
        <v>0</v>
      </c>
      <c r="F22" s="35">
        <f t="shared" si="4"/>
        <v>129</v>
      </c>
      <c r="G22" s="26">
        <f t="shared" si="13"/>
        <v>195</v>
      </c>
      <c r="H22" s="26">
        <f t="shared" si="14"/>
        <v>51</v>
      </c>
      <c r="I22" s="26">
        <f t="shared" si="15"/>
        <v>0</v>
      </c>
      <c r="J22" s="35">
        <f t="shared" si="5"/>
        <v>246</v>
      </c>
      <c r="K22" s="33">
        <v>121</v>
      </c>
      <c r="L22" s="33">
        <v>26</v>
      </c>
      <c r="M22" s="33">
        <v>8516</v>
      </c>
      <c r="N22" s="35">
        <f t="shared" si="6"/>
        <v>8663</v>
      </c>
      <c r="O22" s="26">
        <f t="shared" si="16"/>
        <v>229</v>
      </c>
      <c r="P22" s="26">
        <f t="shared" si="17"/>
        <v>52</v>
      </c>
      <c r="Q22" s="26">
        <f t="shared" si="18"/>
        <v>21243</v>
      </c>
      <c r="R22" s="35">
        <f t="shared" si="7"/>
        <v>21524</v>
      </c>
      <c r="S22" s="35">
        <f t="shared" si="23"/>
        <v>227</v>
      </c>
      <c r="T22" s="35">
        <f t="shared" si="24"/>
        <v>49</v>
      </c>
      <c r="U22" s="35">
        <f t="shared" si="19"/>
        <v>8516</v>
      </c>
      <c r="V22" s="35">
        <f t="shared" si="8"/>
        <v>8792</v>
      </c>
      <c r="W22" s="26">
        <f t="shared" si="20"/>
        <v>424</v>
      </c>
      <c r="X22" s="26">
        <f t="shared" si="21"/>
        <v>103</v>
      </c>
      <c r="Y22" s="26">
        <f t="shared" si="22"/>
        <v>21243</v>
      </c>
      <c r="Z22" s="26">
        <f t="shared" si="9"/>
        <v>21770</v>
      </c>
      <c r="AA22" s="163">
        <f>W22*(1/AC3)/'May 12(1)'!C21*100</f>
        <v>0.38157290832350904</v>
      </c>
      <c r="AB22" s="163">
        <f>X22*(1/AC3)/'May 12(1)'!D21*100</f>
        <v>0.13994565217391305</v>
      </c>
      <c r="AC22" s="163">
        <f>Y22*(1/AC3)/'May 12(1)'!E21*100</f>
        <v>2.8944808247287828</v>
      </c>
      <c r="AD22" s="163">
        <f>Z22*(1/AC3)/'May 12(1)'!F21*100</f>
        <v>2.3698255995593454</v>
      </c>
      <c r="AE22" s="35">
        <f>S22+'May 12(1)'!S21</f>
        <v>319</v>
      </c>
      <c r="AF22" s="35">
        <f>T22+'May 12(1)'!T21</f>
        <v>588</v>
      </c>
      <c r="AG22" s="26">
        <f>U22+'May 12(1)'!U21</f>
        <v>12168</v>
      </c>
      <c r="AH22" s="26">
        <f t="shared" si="10"/>
        <v>13075</v>
      </c>
      <c r="AI22" s="26">
        <f>W22+'May 12(1)'!W21</f>
        <v>646</v>
      </c>
      <c r="AJ22" s="26">
        <f>X22+'May 12(1)'!X21</f>
        <v>1058</v>
      </c>
      <c r="AK22" s="26">
        <f>Y22+'May 12(1)'!Y21</f>
        <v>33140</v>
      </c>
      <c r="AL22" s="26">
        <f t="shared" si="11"/>
        <v>34844</v>
      </c>
      <c r="AM22" s="8"/>
      <c r="AN22" s="8"/>
      <c r="AO22" s="8"/>
      <c r="AP22" s="8"/>
      <c r="AQ22" s="42">
        <v>89</v>
      </c>
      <c r="AR22" s="42">
        <v>28</v>
      </c>
      <c r="AS22" s="42">
        <v>0</v>
      </c>
      <c r="AT22" s="258">
        <v>108</v>
      </c>
      <c r="AU22" s="258">
        <v>26</v>
      </c>
      <c r="AV22" s="258">
        <v>12727</v>
      </c>
      <c r="AW22" s="42">
        <v>197</v>
      </c>
      <c r="AX22" s="42">
        <v>54</v>
      </c>
      <c r="AY22" s="42">
        <v>12727</v>
      </c>
      <c r="AZ22" s="4">
        <f t="shared" si="12"/>
        <v>0</v>
      </c>
      <c r="BA22" s="4">
        <f t="shared" si="12"/>
        <v>0</v>
      </c>
      <c r="BB22" s="4">
        <f t="shared" si="12"/>
        <v>0</v>
      </c>
    </row>
    <row r="23" spans="1:54" ht="25.5" customHeight="1">
      <c r="A23" s="27">
        <v>17</v>
      </c>
      <c r="B23" s="28" t="s">
        <v>69</v>
      </c>
      <c r="C23" s="33">
        <v>1446</v>
      </c>
      <c r="D23" s="33">
        <v>93</v>
      </c>
      <c r="E23" s="33">
        <v>1575</v>
      </c>
      <c r="F23" s="29">
        <f>SUM(C23:E23)</f>
        <v>3114</v>
      </c>
      <c r="G23" s="29">
        <f t="shared" si="13"/>
        <v>54125</v>
      </c>
      <c r="H23" s="29">
        <f t="shared" si="14"/>
        <v>186</v>
      </c>
      <c r="I23" s="29">
        <f t="shared" si="15"/>
        <v>3371</v>
      </c>
      <c r="J23" s="29">
        <f t="shared" si="5"/>
        <v>57682</v>
      </c>
      <c r="K23" s="33">
        <v>14485</v>
      </c>
      <c r="L23" s="33">
        <v>55</v>
      </c>
      <c r="M23" s="33">
        <v>0</v>
      </c>
      <c r="N23" s="29">
        <f t="shared" si="6"/>
        <v>14540</v>
      </c>
      <c r="O23" s="29">
        <f t="shared" si="16"/>
        <v>14627</v>
      </c>
      <c r="P23" s="29">
        <f t="shared" si="17"/>
        <v>55</v>
      </c>
      <c r="Q23" s="29">
        <f t="shared" si="18"/>
        <v>71591</v>
      </c>
      <c r="R23" s="29">
        <f t="shared" si="7"/>
        <v>86273</v>
      </c>
      <c r="S23" s="33">
        <f t="shared" si="23"/>
        <v>15931</v>
      </c>
      <c r="T23" s="33">
        <f t="shared" si="24"/>
        <v>148</v>
      </c>
      <c r="U23" s="33">
        <f t="shared" si="19"/>
        <v>1575</v>
      </c>
      <c r="V23" s="29">
        <f t="shared" si="8"/>
        <v>17654</v>
      </c>
      <c r="W23" s="29">
        <f t="shared" si="20"/>
        <v>68752</v>
      </c>
      <c r="X23" s="29">
        <f t="shared" si="21"/>
        <v>241</v>
      </c>
      <c r="Y23" s="29">
        <f t="shared" si="22"/>
        <v>74962</v>
      </c>
      <c r="Z23" s="29">
        <f t="shared" si="9"/>
        <v>143955</v>
      </c>
      <c r="AA23" s="164">
        <f>W23*(1/AC3)/'May 12(1)'!C22*100</f>
        <v>15.228138566492424</v>
      </c>
      <c r="AB23" s="164">
        <f>X23*(1/AC3)/'May 12(1)'!D22*100</f>
        <v>0.18489960948588702</v>
      </c>
      <c r="AC23" s="164">
        <f>Y23*(1/AC3)/'May 12(1)'!E22*100</f>
        <v>1.7375349218744385</v>
      </c>
      <c r="AD23" s="164">
        <f>Z23*(1/AC3)/'May 12(1)'!F22*100</f>
        <v>2.9402009030055387</v>
      </c>
      <c r="AE23" s="29">
        <f>S23+'May 12(1)'!S22</f>
        <v>1932</v>
      </c>
      <c r="AF23" s="29">
        <f>T23+'May 12(1)'!T22</f>
        <v>252</v>
      </c>
      <c r="AG23" s="29">
        <f>U23+'May 12(1)'!U22</f>
        <v>5806</v>
      </c>
      <c r="AH23" s="29">
        <f t="shared" si="10"/>
        <v>7990</v>
      </c>
      <c r="AI23" s="29">
        <f>W23+'May 12(1)'!W22</f>
        <v>1932</v>
      </c>
      <c r="AJ23" s="29">
        <f>X23+'May 12(1)'!X22</f>
        <v>556</v>
      </c>
      <c r="AK23" s="29">
        <f>Y23+'May 12(1)'!Y22</f>
        <v>90630</v>
      </c>
      <c r="AL23" s="29">
        <f t="shared" si="11"/>
        <v>93118</v>
      </c>
      <c r="AM23" s="8"/>
      <c r="AN23" s="8"/>
      <c r="AO23" s="8"/>
      <c r="AP23" s="8"/>
      <c r="AQ23" s="42">
        <v>52679</v>
      </c>
      <c r="AR23" s="42">
        <v>93</v>
      </c>
      <c r="AS23" s="42">
        <v>1796</v>
      </c>
      <c r="AT23" s="258">
        <v>142</v>
      </c>
      <c r="AU23" s="258">
        <v>0</v>
      </c>
      <c r="AV23" s="258">
        <v>71591</v>
      </c>
      <c r="AW23" s="42">
        <v>52821</v>
      </c>
      <c r="AX23" s="42">
        <v>93</v>
      </c>
      <c r="AY23" s="42">
        <v>73387</v>
      </c>
      <c r="AZ23" s="4">
        <f t="shared" si="12"/>
        <v>0</v>
      </c>
      <c r="BA23" s="4">
        <f t="shared" si="12"/>
        <v>0</v>
      </c>
      <c r="BB23" s="4">
        <f t="shared" si="12"/>
        <v>0</v>
      </c>
    </row>
    <row r="24" spans="1:54" ht="25.5" customHeight="1">
      <c r="A24" s="30">
        <v>18</v>
      </c>
      <c r="B24" s="31" t="s">
        <v>37</v>
      </c>
      <c r="C24" s="34">
        <v>6339</v>
      </c>
      <c r="D24" s="34">
        <v>776</v>
      </c>
      <c r="E24" s="34">
        <v>389713</v>
      </c>
      <c r="F24" s="32">
        <f t="shared" si="4"/>
        <v>396828</v>
      </c>
      <c r="G24" s="29">
        <f t="shared" si="13"/>
        <v>12922</v>
      </c>
      <c r="H24" s="32">
        <f t="shared" si="14"/>
        <v>2528</v>
      </c>
      <c r="I24" s="32">
        <f t="shared" si="15"/>
        <v>471597</v>
      </c>
      <c r="J24" s="32">
        <f t="shared" si="5"/>
        <v>487047</v>
      </c>
      <c r="K24" s="34">
        <v>1711</v>
      </c>
      <c r="L24" s="34">
        <v>107</v>
      </c>
      <c r="M24" s="34">
        <v>0</v>
      </c>
      <c r="N24" s="32">
        <f t="shared" si="6"/>
        <v>1818</v>
      </c>
      <c r="O24" s="32">
        <f t="shared" si="16"/>
        <v>5280</v>
      </c>
      <c r="P24" s="32">
        <f t="shared" si="17"/>
        <v>285</v>
      </c>
      <c r="Q24" s="32">
        <f t="shared" si="18"/>
        <v>0</v>
      </c>
      <c r="R24" s="32">
        <f t="shared" si="7"/>
        <v>5565</v>
      </c>
      <c r="S24" s="34">
        <f t="shared" si="23"/>
        <v>8050</v>
      </c>
      <c r="T24" s="34">
        <f t="shared" si="24"/>
        <v>883</v>
      </c>
      <c r="U24" s="34">
        <f t="shared" si="19"/>
        <v>389713</v>
      </c>
      <c r="V24" s="32">
        <f t="shared" si="8"/>
        <v>398646</v>
      </c>
      <c r="W24" s="32">
        <f t="shared" si="20"/>
        <v>18202</v>
      </c>
      <c r="X24" s="32">
        <f t="shared" si="21"/>
        <v>2813</v>
      </c>
      <c r="Y24" s="32">
        <f t="shared" si="22"/>
        <v>471597</v>
      </c>
      <c r="Z24" s="32">
        <f t="shared" si="9"/>
        <v>492612</v>
      </c>
      <c r="AA24" s="165">
        <f>W24*(1/AC3)/'May 12(1)'!C23*100</f>
        <v>1.670035424715827</v>
      </c>
      <c r="AB24" s="165">
        <f>X24*(1/AC3)/'May 12(1)'!D23*100</f>
        <v>4.912593213531025</v>
      </c>
      <c r="AC24" s="165">
        <f>Y24*(1/AC3)/'May 12(1)'!E23*100</f>
        <v>10.185513153563786</v>
      </c>
      <c r="AD24" s="165">
        <f>Z24*(1/AC3)/'May 12(1)'!F23*100</f>
        <v>8.526749905751071</v>
      </c>
      <c r="AE24" s="32">
        <f>S24+'May 12(1)'!S23</f>
        <v>5773</v>
      </c>
      <c r="AF24" s="32">
        <f>T24+'May 12(1)'!T23</f>
        <v>527</v>
      </c>
      <c r="AG24" s="32">
        <f>U24+'May 12(1)'!U23</f>
        <v>49847</v>
      </c>
      <c r="AH24" s="32">
        <f t="shared" si="10"/>
        <v>56147</v>
      </c>
      <c r="AI24" s="32">
        <f>W24+'May 12(1)'!W23</f>
        <v>12687</v>
      </c>
      <c r="AJ24" s="32">
        <f>X24+'May 12(1)'!X23</f>
        <v>1043</v>
      </c>
      <c r="AK24" s="32">
        <f>Y24+'May 12(1)'!Y23</f>
        <v>103398</v>
      </c>
      <c r="AL24" s="32">
        <f t="shared" si="11"/>
        <v>117128</v>
      </c>
      <c r="AM24" s="8"/>
      <c r="AN24" s="8"/>
      <c r="AO24" s="8"/>
      <c r="AP24" s="8"/>
      <c r="AQ24" s="42">
        <v>6583</v>
      </c>
      <c r="AR24" s="42">
        <v>1752</v>
      </c>
      <c r="AS24" s="42">
        <v>81884</v>
      </c>
      <c r="AT24" s="258">
        <v>3569</v>
      </c>
      <c r="AU24" s="258">
        <v>178</v>
      </c>
      <c r="AV24" s="258">
        <v>0</v>
      </c>
      <c r="AW24" s="42">
        <v>10152</v>
      </c>
      <c r="AX24" s="42">
        <v>1930</v>
      </c>
      <c r="AY24" s="42">
        <v>81884</v>
      </c>
      <c r="AZ24" s="4">
        <f t="shared" si="12"/>
        <v>0</v>
      </c>
      <c r="BA24" s="4">
        <f t="shared" si="12"/>
        <v>0</v>
      </c>
      <c r="BB24" s="4">
        <f t="shared" si="12"/>
        <v>0</v>
      </c>
    </row>
    <row r="25" spans="1:54" ht="25.5" customHeight="1">
      <c r="A25" s="59">
        <v>19</v>
      </c>
      <c r="B25" s="25" t="s">
        <v>70</v>
      </c>
      <c r="C25" s="35">
        <v>10033</v>
      </c>
      <c r="D25" s="35">
        <v>2656</v>
      </c>
      <c r="E25" s="35">
        <v>87395</v>
      </c>
      <c r="F25" s="35">
        <f t="shared" si="4"/>
        <v>100084</v>
      </c>
      <c r="G25" s="26">
        <f t="shared" si="13"/>
        <v>14875</v>
      </c>
      <c r="H25" s="26">
        <f t="shared" si="14"/>
        <v>12688</v>
      </c>
      <c r="I25" s="26">
        <f t="shared" si="15"/>
        <v>167072</v>
      </c>
      <c r="J25" s="26">
        <f t="shared" si="5"/>
        <v>194635</v>
      </c>
      <c r="K25" s="35">
        <v>9171</v>
      </c>
      <c r="L25" s="35">
        <f>4+38618</f>
        <v>38622</v>
      </c>
      <c r="M25" s="231"/>
      <c r="N25" s="26">
        <f t="shared" si="6"/>
        <v>47793</v>
      </c>
      <c r="O25" s="26">
        <f t="shared" si="16"/>
        <v>14585</v>
      </c>
      <c r="P25" s="26">
        <f t="shared" si="17"/>
        <v>38743</v>
      </c>
      <c r="Q25" s="26">
        <f t="shared" si="18"/>
        <v>0</v>
      </c>
      <c r="R25" s="26">
        <f t="shared" si="7"/>
        <v>53328</v>
      </c>
      <c r="S25" s="35">
        <f t="shared" si="23"/>
        <v>19204</v>
      </c>
      <c r="T25" s="35">
        <f t="shared" si="24"/>
        <v>41278</v>
      </c>
      <c r="U25" s="35">
        <f t="shared" si="19"/>
        <v>87395</v>
      </c>
      <c r="V25" s="26">
        <f t="shared" si="8"/>
        <v>147877</v>
      </c>
      <c r="W25" s="26">
        <f>S25+AW25</f>
        <v>29460</v>
      </c>
      <c r="X25" s="26">
        <f t="shared" si="21"/>
        <v>51431</v>
      </c>
      <c r="Y25" s="26">
        <f t="shared" si="22"/>
        <v>167072</v>
      </c>
      <c r="Z25" s="26">
        <f t="shared" si="9"/>
        <v>247963</v>
      </c>
      <c r="AA25" s="163">
        <f>W25*(1/AC3)/'May 12(1)'!C24*100</f>
        <v>2.814761734145468</v>
      </c>
      <c r="AB25" s="163">
        <f>X25*(1/AC3)/'May 12(1)'!D24*100</f>
        <v>24.826584154353377</v>
      </c>
      <c r="AC25" s="163">
        <f>Y25*(1/AC3)/'May 12(1)'!E24*100</f>
        <v>3.068531554327529</v>
      </c>
      <c r="AD25" s="163">
        <f>Z25*(1/AC3)/'May 12(1)'!F24*100</f>
        <v>3.7017828684887233</v>
      </c>
      <c r="AE25" s="26">
        <f>S25+'May 12(1)'!S24</f>
        <v>4833</v>
      </c>
      <c r="AF25" s="26">
        <f>T25+'May 12(1)'!T24</f>
        <v>40230</v>
      </c>
      <c r="AG25" s="26">
        <f>U25+'May 12(1)'!U24</f>
        <v>80743</v>
      </c>
      <c r="AH25" s="26">
        <f t="shared" si="10"/>
        <v>125806</v>
      </c>
      <c r="AI25" s="26">
        <f>W25+'May 12(1)'!W24</f>
        <v>7518</v>
      </c>
      <c r="AJ25" s="26">
        <f>X25+'May 12(1)'!X24</f>
        <v>40230</v>
      </c>
      <c r="AK25" s="26">
        <f>Y25+'May 12(1)'!Y24</f>
        <v>192431</v>
      </c>
      <c r="AL25" s="26">
        <f t="shared" si="11"/>
        <v>240179</v>
      </c>
      <c r="AM25" s="8"/>
      <c r="AN25" s="8"/>
      <c r="AO25" s="8"/>
      <c r="AP25" s="8"/>
      <c r="AQ25" s="42">
        <v>4842</v>
      </c>
      <c r="AR25" s="42">
        <v>10032</v>
      </c>
      <c r="AS25" s="42">
        <v>79677</v>
      </c>
      <c r="AT25" s="258">
        <v>5414</v>
      </c>
      <c r="AU25" s="258">
        <v>121</v>
      </c>
      <c r="AV25" s="258">
        <v>0</v>
      </c>
      <c r="AW25" s="42">
        <v>10256</v>
      </c>
      <c r="AX25" s="42">
        <v>10153</v>
      </c>
      <c r="AY25" s="42">
        <v>79677</v>
      </c>
      <c r="AZ25" s="4">
        <f t="shared" si="12"/>
        <v>0</v>
      </c>
      <c r="BA25" s="4">
        <f t="shared" si="12"/>
        <v>0</v>
      </c>
      <c r="BB25" s="4">
        <f t="shared" si="12"/>
        <v>0</v>
      </c>
    </row>
    <row r="26" spans="1:54" ht="25.5" customHeight="1">
      <c r="A26" s="27">
        <v>20</v>
      </c>
      <c r="B26" s="28" t="s">
        <v>71</v>
      </c>
      <c r="C26" s="33">
        <v>13810</v>
      </c>
      <c r="D26" s="33">
        <v>2096</v>
      </c>
      <c r="E26" s="33">
        <v>69845</v>
      </c>
      <c r="F26" s="29">
        <f t="shared" si="4"/>
        <v>85751</v>
      </c>
      <c r="G26" s="29">
        <f t="shared" si="13"/>
        <v>24153</v>
      </c>
      <c r="H26" s="29">
        <f t="shared" si="14"/>
        <v>182663</v>
      </c>
      <c r="I26" s="29">
        <f t="shared" si="15"/>
        <v>154297</v>
      </c>
      <c r="J26" s="29">
        <f t="shared" si="5"/>
        <v>361113</v>
      </c>
      <c r="K26" s="33">
        <v>7823</v>
      </c>
      <c r="L26" s="33">
        <v>4059</v>
      </c>
      <c r="M26" s="33">
        <v>499</v>
      </c>
      <c r="N26" s="29">
        <f t="shared" si="6"/>
        <v>12381</v>
      </c>
      <c r="O26" s="29">
        <f t="shared" si="16"/>
        <v>18931</v>
      </c>
      <c r="P26" s="29">
        <f t="shared" si="17"/>
        <v>4059</v>
      </c>
      <c r="Q26" s="29">
        <f t="shared" si="18"/>
        <v>894</v>
      </c>
      <c r="R26" s="29">
        <f t="shared" si="7"/>
        <v>23884</v>
      </c>
      <c r="S26" s="33">
        <f t="shared" si="23"/>
        <v>21633</v>
      </c>
      <c r="T26" s="33">
        <f t="shared" si="24"/>
        <v>6155</v>
      </c>
      <c r="U26" s="33">
        <f t="shared" si="19"/>
        <v>70344</v>
      </c>
      <c r="V26" s="29">
        <f t="shared" si="8"/>
        <v>98132</v>
      </c>
      <c r="W26" s="29">
        <f t="shared" si="20"/>
        <v>43084</v>
      </c>
      <c r="X26" s="29">
        <f t="shared" si="21"/>
        <v>186722</v>
      </c>
      <c r="Y26" s="29">
        <f t="shared" si="22"/>
        <v>155191</v>
      </c>
      <c r="Z26" s="29">
        <f t="shared" si="9"/>
        <v>384997</v>
      </c>
      <c r="AA26" s="164">
        <f>W26*(1/AC3)/'May 12(1)'!C25*100</f>
        <v>2.586995251010714</v>
      </c>
      <c r="AB26" s="164">
        <f>X26*(1/AC3)/'May 12(1)'!D25*100</f>
        <v>44.74237228839735</v>
      </c>
      <c r="AC26" s="164">
        <f>Y26*(1/AC3)/'May 12(1)'!E25*100</f>
        <v>2.035352129781158</v>
      </c>
      <c r="AD26" s="164">
        <f>Z26*(1/AC3)/'May 12(1)'!F25*100</f>
        <v>3.9659714934048984</v>
      </c>
      <c r="AE26" s="29">
        <f>S26+'May 12(1)'!S25</f>
        <v>9953</v>
      </c>
      <c r="AF26" s="29">
        <f>T26+'May 12(1)'!T25</f>
        <v>1372</v>
      </c>
      <c r="AG26" s="29">
        <f>U26+'May 12(1)'!U25</f>
        <v>84250</v>
      </c>
      <c r="AH26" s="29">
        <f t="shared" si="10"/>
        <v>95575</v>
      </c>
      <c r="AI26" s="29">
        <f>W26+'May 12(1)'!W25</f>
        <v>19492</v>
      </c>
      <c r="AJ26" s="29">
        <f>X26+'May 12(1)'!X25</f>
        <v>2442</v>
      </c>
      <c r="AK26" s="29">
        <f>Y26+'May 12(1)'!Y25</f>
        <v>180550</v>
      </c>
      <c r="AL26" s="29">
        <f t="shared" si="11"/>
        <v>202484</v>
      </c>
      <c r="AM26" s="8"/>
      <c r="AN26" s="8"/>
      <c r="AO26" s="8"/>
      <c r="AP26" s="8"/>
      <c r="AQ26" s="29">
        <v>10343</v>
      </c>
      <c r="AR26" s="29">
        <v>180567</v>
      </c>
      <c r="AS26" s="29">
        <v>84452</v>
      </c>
      <c r="AT26" s="258">
        <v>11108</v>
      </c>
      <c r="AU26" s="258">
        <v>0</v>
      </c>
      <c r="AV26" s="258">
        <v>395</v>
      </c>
      <c r="AW26" s="42">
        <v>21451</v>
      </c>
      <c r="AX26" s="42">
        <v>180567</v>
      </c>
      <c r="AY26" s="42">
        <v>84847</v>
      </c>
      <c r="AZ26" s="4">
        <f t="shared" si="12"/>
        <v>0</v>
      </c>
      <c r="BA26" s="4">
        <f t="shared" si="12"/>
        <v>0</v>
      </c>
      <c r="BB26" s="4">
        <f t="shared" si="12"/>
        <v>0</v>
      </c>
    </row>
    <row r="27" spans="1:54" ht="25.5" customHeight="1">
      <c r="A27" s="61">
        <v>21</v>
      </c>
      <c r="B27" s="31" t="s">
        <v>72</v>
      </c>
      <c r="C27" s="34">
        <v>2929</v>
      </c>
      <c r="D27" s="34">
        <v>1587</v>
      </c>
      <c r="E27" s="34">
        <v>13184</v>
      </c>
      <c r="F27" s="32">
        <f t="shared" si="4"/>
        <v>17700</v>
      </c>
      <c r="G27" s="32">
        <f t="shared" si="13"/>
        <v>4933</v>
      </c>
      <c r="H27" s="32">
        <f t="shared" si="14"/>
        <v>4512</v>
      </c>
      <c r="I27" s="32">
        <f t="shared" si="15"/>
        <v>30667</v>
      </c>
      <c r="J27" s="32">
        <f t="shared" si="5"/>
        <v>40112</v>
      </c>
      <c r="K27" s="233"/>
      <c r="L27" s="233"/>
      <c r="M27" s="233"/>
      <c r="N27" s="32">
        <f t="shared" si="6"/>
        <v>0</v>
      </c>
      <c r="O27" s="32">
        <f t="shared" si="16"/>
        <v>0</v>
      </c>
      <c r="P27" s="32">
        <f t="shared" si="17"/>
        <v>0</v>
      </c>
      <c r="Q27" s="32">
        <f t="shared" si="18"/>
        <v>0</v>
      </c>
      <c r="R27" s="32">
        <f t="shared" si="7"/>
        <v>0</v>
      </c>
      <c r="S27" s="34">
        <f t="shared" si="23"/>
        <v>2929</v>
      </c>
      <c r="T27" s="34">
        <f t="shared" si="24"/>
        <v>1587</v>
      </c>
      <c r="U27" s="34">
        <f t="shared" si="19"/>
        <v>13184</v>
      </c>
      <c r="V27" s="32">
        <f t="shared" si="8"/>
        <v>17700</v>
      </c>
      <c r="W27" s="32">
        <f t="shared" si="20"/>
        <v>4933</v>
      </c>
      <c r="X27" s="32">
        <f t="shared" si="21"/>
        <v>4512</v>
      </c>
      <c r="Y27" s="32">
        <f t="shared" si="22"/>
        <v>30667</v>
      </c>
      <c r="Z27" s="32">
        <f t="shared" si="9"/>
        <v>40112</v>
      </c>
      <c r="AA27" s="165">
        <f>W27*(1/AC3)/'May 12(1)'!C26*100</f>
        <v>2.2380407955865276</v>
      </c>
      <c r="AB27" s="165">
        <f>X27*(1/AC3)/'May 12(1)'!D26*100</f>
        <v>7.734636153252763</v>
      </c>
      <c r="AC27" s="165">
        <f>Y27*(1/AC3)/'May 12(1)'!E26*100</f>
        <v>2.253809509110926</v>
      </c>
      <c r="AD27" s="165">
        <f>Z27*(1/AC3)/'May 12(1)'!F26*100</f>
        <v>2.4467114994586514</v>
      </c>
      <c r="AE27" s="32">
        <f>S27+'May 12(1)'!S26</f>
        <v>946</v>
      </c>
      <c r="AF27" s="32">
        <f>T27+'May 12(1)'!T26</f>
        <v>410</v>
      </c>
      <c r="AG27" s="32">
        <f>U27+'May 12(1)'!U26</f>
        <v>9032</v>
      </c>
      <c r="AH27" s="32">
        <f t="shared" si="10"/>
        <v>10388</v>
      </c>
      <c r="AI27" s="32">
        <f>W27+'May 12(1)'!W26</f>
        <v>1510</v>
      </c>
      <c r="AJ27" s="32">
        <f>X27+'May 12(1)'!X26</f>
        <v>410</v>
      </c>
      <c r="AK27" s="32">
        <f>Y27+'May 12(1)'!Y26</f>
        <v>35523</v>
      </c>
      <c r="AL27" s="32">
        <f t="shared" si="11"/>
        <v>37443</v>
      </c>
      <c r="AM27" s="8"/>
      <c r="AN27" s="8"/>
      <c r="AO27" s="8"/>
      <c r="AP27" s="8"/>
      <c r="AQ27" s="42">
        <v>2004</v>
      </c>
      <c r="AR27" s="42">
        <v>2925</v>
      </c>
      <c r="AS27" s="42">
        <v>17483</v>
      </c>
      <c r="AT27" s="258">
        <v>0</v>
      </c>
      <c r="AU27" s="258">
        <v>0</v>
      </c>
      <c r="AV27" s="258">
        <v>0</v>
      </c>
      <c r="AW27" s="42">
        <v>2004</v>
      </c>
      <c r="AX27" s="42">
        <v>2925</v>
      </c>
      <c r="AY27" s="42">
        <v>17483</v>
      </c>
      <c r="AZ27" s="4">
        <f t="shared" si="12"/>
        <v>0</v>
      </c>
      <c r="BA27" s="4">
        <f t="shared" si="12"/>
        <v>0</v>
      </c>
      <c r="BB27" s="4">
        <f t="shared" si="12"/>
        <v>0</v>
      </c>
    </row>
    <row r="28" spans="1:54" ht="25.5" customHeight="1">
      <c r="A28" s="59">
        <v>22</v>
      </c>
      <c r="B28" s="44" t="s">
        <v>7</v>
      </c>
      <c r="C28" s="35">
        <v>35627</v>
      </c>
      <c r="D28" s="35">
        <v>1819</v>
      </c>
      <c r="E28" s="35">
        <v>273</v>
      </c>
      <c r="F28" s="26">
        <f t="shared" si="4"/>
        <v>37719</v>
      </c>
      <c r="G28" s="26">
        <f t="shared" si="13"/>
        <v>41383</v>
      </c>
      <c r="H28" s="26">
        <f t="shared" si="14"/>
        <v>8082</v>
      </c>
      <c r="I28" s="26">
        <f t="shared" si="15"/>
        <v>42222</v>
      </c>
      <c r="J28" s="26">
        <f t="shared" si="5"/>
        <v>91687</v>
      </c>
      <c r="K28" s="35">
        <v>13677</v>
      </c>
      <c r="L28" s="35">
        <v>2796</v>
      </c>
      <c r="M28" s="35">
        <v>5406</v>
      </c>
      <c r="N28" s="35">
        <f t="shared" si="6"/>
        <v>21879</v>
      </c>
      <c r="O28" s="26">
        <f t="shared" si="16"/>
        <v>31069</v>
      </c>
      <c r="P28" s="26">
        <f t="shared" si="17"/>
        <v>4387</v>
      </c>
      <c r="Q28" s="26">
        <f t="shared" si="18"/>
        <v>13326</v>
      </c>
      <c r="R28" s="26">
        <f t="shared" si="7"/>
        <v>48782</v>
      </c>
      <c r="S28" s="35">
        <f t="shared" si="23"/>
        <v>49304</v>
      </c>
      <c r="T28" s="35">
        <f t="shared" si="24"/>
        <v>4615</v>
      </c>
      <c r="U28" s="35">
        <f t="shared" si="19"/>
        <v>5679</v>
      </c>
      <c r="V28" s="26">
        <f t="shared" si="8"/>
        <v>59598</v>
      </c>
      <c r="W28" s="26">
        <f t="shared" si="20"/>
        <v>72452</v>
      </c>
      <c r="X28" s="26">
        <f t="shared" si="21"/>
        <v>12469</v>
      </c>
      <c r="Y28" s="26">
        <f t="shared" si="22"/>
        <v>55548</v>
      </c>
      <c r="Z28" s="26">
        <f t="shared" si="9"/>
        <v>140469</v>
      </c>
      <c r="AA28" s="163">
        <f>W28*(1/AC3)/'May 12(1)'!C27*100</f>
        <v>6.205175375940172</v>
      </c>
      <c r="AB28" s="164">
        <f>X28*(1/AC3)/'May 12(1)'!D27*100</f>
        <v>2.7750329380764165</v>
      </c>
      <c r="AC28" s="163">
        <f>Y28*(1/AC3)/'May 12(1)'!E27*100</f>
        <v>0.5745888128547024</v>
      </c>
      <c r="AD28" s="163">
        <f>Z28*(1/AC3)/'May 12(1)'!F27*100</f>
        <v>1.2448104098687307</v>
      </c>
      <c r="AE28" s="26">
        <f>S28+'May 12(1)'!S27</f>
        <v>2467</v>
      </c>
      <c r="AF28" s="26">
        <f>T28+'May 12(1)'!T27</f>
        <v>1317</v>
      </c>
      <c r="AG28" s="26">
        <f>U28+'May 12(1)'!U27</f>
        <v>5001</v>
      </c>
      <c r="AH28" s="26">
        <f t="shared" si="10"/>
        <v>8785</v>
      </c>
      <c r="AI28" s="26">
        <f>W28+'May 12(1)'!W27</f>
        <v>4553</v>
      </c>
      <c r="AJ28" s="26">
        <f>X28+'May 12(1)'!X27</f>
        <v>2379</v>
      </c>
      <c r="AK28" s="26">
        <f>Y28+'May 12(1)'!Y27</f>
        <v>5001</v>
      </c>
      <c r="AL28" s="26">
        <f t="shared" si="11"/>
        <v>11933</v>
      </c>
      <c r="AM28" s="8"/>
      <c r="AN28" s="8"/>
      <c r="AO28" s="8"/>
      <c r="AP28" s="8"/>
      <c r="AQ28" s="42">
        <v>5756</v>
      </c>
      <c r="AR28" s="42">
        <v>6263</v>
      </c>
      <c r="AS28" s="42">
        <v>41949</v>
      </c>
      <c r="AT28" s="258">
        <v>17392</v>
      </c>
      <c r="AU28" s="258">
        <v>1591</v>
      </c>
      <c r="AV28" s="258">
        <v>7920</v>
      </c>
      <c r="AW28" s="42">
        <v>23148</v>
      </c>
      <c r="AX28" s="42">
        <v>7854</v>
      </c>
      <c r="AY28" s="42">
        <v>49869</v>
      </c>
      <c r="AZ28" s="4">
        <f t="shared" si="12"/>
        <v>0</v>
      </c>
      <c r="BA28" s="4">
        <f t="shared" si="12"/>
        <v>0</v>
      </c>
      <c r="BB28" s="4">
        <f t="shared" si="12"/>
        <v>0</v>
      </c>
    </row>
    <row r="29" spans="1:54" ht="25.5" customHeight="1">
      <c r="A29" s="60">
        <v>23</v>
      </c>
      <c r="B29" s="28" t="s">
        <v>8</v>
      </c>
      <c r="C29" s="33">
        <v>3359</v>
      </c>
      <c r="D29" s="33">
        <v>1326</v>
      </c>
      <c r="E29" s="33">
        <v>73496</v>
      </c>
      <c r="F29" s="29">
        <f t="shared" si="4"/>
        <v>78181</v>
      </c>
      <c r="G29" s="33">
        <f t="shared" si="13"/>
        <v>6730</v>
      </c>
      <c r="H29" s="33">
        <f t="shared" si="14"/>
        <v>1451</v>
      </c>
      <c r="I29" s="33">
        <f t="shared" si="15"/>
        <v>125242</v>
      </c>
      <c r="J29" s="33">
        <f t="shared" si="5"/>
        <v>133423</v>
      </c>
      <c r="K29" s="33">
        <v>608</v>
      </c>
      <c r="L29" s="33">
        <v>42</v>
      </c>
      <c r="M29" s="232"/>
      <c r="N29" s="29">
        <f t="shared" si="6"/>
        <v>650</v>
      </c>
      <c r="O29" s="29">
        <f t="shared" si="16"/>
        <v>1399</v>
      </c>
      <c r="P29" s="29">
        <f t="shared" si="17"/>
        <v>179</v>
      </c>
      <c r="Q29" s="29">
        <f t="shared" si="18"/>
        <v>0</v>
      </c>
      <c r="R29" s="29">
        <f t="shared" si="7"/>
        <v>1578</v>
      </c>
      <c r="S29" s="33">
        <f t="shared" si="23"/>
        <v>3967</v>
      </c>
      <c r="T29" s="33">
        <f t="shared" si="24"/>
        <v>1368</v>
      </c>
      <c r="U29" s="33">
        <f t="shared" si="19"/>
        <v>73496</v>
      </c>
      <c r="V29" s="29">
        <f t="shared" si="8"/>
        <v>78831</v>
      </c>
      <c r="W29" s="29">
        <f t="shared" si="20"/>
        <v>8129</v>
      </c>
      <c r="X29" s="29">
        <f t="shared" si="21"/>
        <v>1630</v>
      </c>
      <c r="Y29" s="29">
        <f t="shared" si="22"/>
        <v>125242</v>
      </c>
      <c r="Z29" s="29">
        <f t="shared" si="9"/>
        <v>135001</v>
      </c>
      <c r="AA29" s="164">
        <f>W29*(1/AC3)/'May 12(1)'!C28*100</f>
        <v>1.5083311685901954</v>
      </c>
      <c r="AB29" s="164">
        <f>X29*(1/AC3)/'May 12(1)'!D28*100</f>
        <v>1.6807415885585837</v>
      </c>
      <c r="AC29" s="164">
        <f>Y29*(1/AC3)/'May 12(1)'!E28*100</f>
        <v>3.8135320982891447</v>
      </c>
      <c r="AD29" s="164">
        <f>Z29*(1/AC3)/'May 12(1)'!F28*100</f>
        <v>3.4438433210852466</v>
      </c>
      <c r="AE29" s="29">
        <f>S29+'May 12(1)'!S28</f>
        <v>3016</v>
      </c>
      <c r="AF29" s="29">
        <f>T29+'May 12(1)'!T28</f>
        <v>300</v>
      </c>
      <c r="AG29" s="29">
        <f>U29+'May 12(1)'!U28</f>
        <v>101081</v>
      </c>
      <c r="AH29" s="29">
        <f t="shared" si="10"/>
        <v>104397</v>
      </c>
      <c r="AI29" s="29">
        <f>W29+'May 12(1)'!W28</f>
        <v>5325</v>
      </c>
      <c r="AJ29" s="29">
        <f>X29+'May 12(1)'!X28</f>
        <v>585</v>
      </c>
      <c r="AK29" s="29">
        <f>Y29+'May 12(1)'!Y28</f>
        <v>188945</v>
      </c>
      <c r="AL29" s="29">
        <f t="shared" si="11"/>
        <v>194855</v>
      </c>
      <c r="AM29" s="8"/>
      <c r="AN29" s="8"/>
      <c r="AO29" s="8"/>
      <c r="AP29" s="8"/>
      <c r="AQ29" s="42">
        <v>3371</v>
      </c>
      <c r="AR29" s="42">
        <v>125</v>
      </c>
      <c r="AS29" s="42">
        <v>51746</v>
      </c>
      <c r="AT29" s="258">
        <v>791</v>
      </c>
      <c r="AU29" s="258">
        <v>137</v>
      </c>
      <c r="AV29" s="258">
        <v>0</v>
      </c>
      <c r="AW29" s="42">
        <v>4162</v>
      </c>
      <c r="AX29" s="42">
        <v>262</v>
      </c>
      <c r="AY29" s="42">
        <v>51746</v>
      </c>
      <c r="AZ29" s="4">
        <f t="shared" si="12"/>
        <v>0</v>
      </c>
      <c r="BA29" s="4">
        <f t="shared" si="12"/>
        <v>0</v>
      </c>
      <c r="BB29" s="4">
        <f t="shared" si="12"/>
        <v>0</v>
      </c>
    </row>
    <row r="30" spans="1:54" ht="25.5" customHeight="1">
      <c r="A30" s="61">
        <v>24</v>
      </c>
      <c r="B30" s="46" t="s">
        <v>40</v>
      </c>
      <c r="C30" s="34">
        <v>27477</v>
      </c>
      <c r="D30" s="34">
        <v>103</v>
      </c>
      <c r="E30" s="34">
        <v>13904</v>
      </c>
      <c r="F30" s="32">
        <f t="shared" si="4"/>
        <v>41484</v>
      </c>
      <c r="G30" s="32">
        <f t="shared" si="13"/>
        <v>59062</v>
      </c>
      <c r="H30" s="32">
        <f t="shared" si="14"/>
        <v>4243</v>
      </c>
      <c r="I30" s="32">
        <f t="shared" si="15"/>
        <v>16707</v>
      </c>
      <c r="J30" s="32">
        <f t="shared" si="5"/>
        <v>80012</v>
      </c>
      <c r="K30" s="233"/>
      <c r="L30" s="233"/>
      <c r="M30" s="233"/>
      <c r="N30" s="32">
        <f t="shared" si="6"/>
        <v>0</v>
      </c>
      <c r="O30" s="32">
        <f t="shared" si="16"/>
        <v>0</v>
      </c>
      <c r="P30" s="32">
        <f t="shared" si="17"/>
        <v>0</v>
      </c>
      <c r="Q30" s="32">
        <f t="shared" si="18"/>
        <v>0</v>
      </c>
      <c r="R30" s="32">
        <f t="shared" si="7"/>
        <v>0</v>
      </c>
      <c r="S30" s="34">
        <f t="shared" si="23"/>
        <v>27477</v>
      </c>
      <c r="T30" s="34">
        <f t="shared" si="24"/>
        <v>103</v>
      </c>
      <c r="U30" s="34">
        <f t="shared" si="19"/>
        <v>13904</v>
      </c>
      <c r="V30" s="32">
        <f t="shared" si="8"/>
        <v>41484</v>
      </c>
      <c r="W30" s="32">
        <f t="shared" si="20"/>
        <v>59062</v>
      </c>
      <c r="X30" s="32">
        <f t="shared" si="21"/>
        <v>4243</v>
      </c>
      <c r="Y30" s="32">
        <f t="shared" si="22"/>
        <v>16707</v>
      </c>
      <c r="Z30" s="32">
        <f t="shared" si="9"/>
        <v>80012</v>
      </c>
      <c r="AA30" s="165">
        <f>W30*(1/AC3)/'May 12(1)'!C29*100</f>
        <v>8.996428054622585</v>
      </c>
      <c r="AB30" s="165">
        <f>X30*(1/AC3)/'May 12(1)'!D29*100</f>
        <v>5.765494000788118</v>
      </c>
      <c r="AC30" s="165">
        <f>Y30*(1/AC3)/'May 12(1)'!E29*100</f>
        <v>0.5014394586962994</v>
      </c>
      <c r="AD30" s="165">
        <f>Z30*(1/AC3)/'May 12(1)'!F29*100</f>
        <v>1.9698141709827848</v>
      </c>
      <c r="AE30" s="32">
        <f>S30+'May 12(1)'!S29</f>
        <v>1559</v>
      </c>
      <c r="AF30" s="32">
        <f>T30+'May 12(1)'!T29</f>
        <v>397</v>
      </c>
      <c r="AG30" s="32">
        <f>U30+'May 12(1)'!U29</f>
        <v>16538</v>
      </c>
      <c r="AH30" s="32">
        <f t="shared" si="10"/>
        <v>18494</v>
      </c>
      <c r="AI30" s="32">
        <f>W30+'May 12(1)'!W29</f>
        <v>2931</v>
      </c>
      <c r="AJ30" s="32">
        <f>X30+'May 12(1)'!X29</f>
        <v>14915</v>
      </c>
      <c r="AK30" s="32">
        <f>Y30+'May 12(1)'!Y29</f>
        <v>40847</v>
      </c>
      <c r="AL30" s="32">
        <f t="shared" si="11"/>
        <v>58693</v>
      </c>
      <c r="AM30" s="8"/>
      <c r="AN30" s="8"/>
      <c r="AO30" s="8"/>
      <c r="AP30" s="8"/>
      <c r="AQ30" s="42">
        <v>31585</v>
      </c>
      <c r="AR30" s="42">
        <v>4140</v>
      </c>
      <c r="AS30" s="42">
        <v>2803</v>
      </c>
      <c r="AT30" s="258">
        <v>0</v>
      </c>
      <c r="AU30" s="258">
        <v>0</v>
      </c>
      <c r="AV30" s="258">
        <v>0</v>
      </c>
      <c r="AW30" s="42">
        <v>31585</v>
      </c>
      <c r="AX30" s="42">
        <v>4140</v>
      </c>
      <c r="AY30" s="42">
        <v>2803</v>
      </c>
      <c r="AZ30" s="4">
        <f t="shared" si="12"/>
        <v>0</v>
      </c>
      <c r="BA30" s="4">
        <f t="shared" si="12"/>
        <v>0</v>
      </c>
      <c r="BB30" s="4">
        <f t="shared" si="12"/>
        <v>0</v>
      </c>
    </row>
    <row r="31" spans="1:54" ht="25.5" customHeight="1">
      <c r="A31" s="59">
        <v>25</v>
      </c>
      <c r="B31" s="44" t="s">
        <v>9</v>
      </c>
      <c r="C31" s="35">
        <v>1631</v>
      </c>
      <c r="D31" s="35">
        <v>414</v>
      </c>
      <c r="E31" s="35">
        <v>5198</v>
      </c>
      <c r="F31" s="26">
        <f t="shared" si="4"/>
        <v>7243</v>
      </c>
      <c r="G31" s="26">
        <f t="shared" si="13"/>
        <v>14426</v>
      </c>
      <c r="H31" s="26">
        <f t="shared" si="14"/>
        <v>766</v>
      </c>
      <c r="I31" s="26">
        <f t="shared" si="15"/>
        <v>37360</v>
      </c>
      <c r="J31" s="26">
        <f t="shared" si="5"/>
        <v>52552</v>
      </c>
      <c r="K31" s="35">
        <v>18</v>
      </c>
      <c r="L31" s="231"/>
      <c r="M31" s="35">
        <v>0</v>
      </c>
      <c r="N31" s="26">
        <f t="shared" si="6"/>
        <v>18</v>
      </c>
      <c r="O31" s="26">
        <f t="shared" si="16"/>
        <v>36</v>
      </c>
      <c r="P31" s="26">
        <f t="shared" si="17"/>
        <v>0</v>
      </c>
      <c r="Q31" s="26">
        <f t="shared" si="18"/>
        <v>0</v>
      </c>
      <c r="R31" s="26">
        <f t="shared" si="7"/>
        <v>36</v>
      </c>
      <c r="S31" s="35">
        <f t="shared" si="23"/>
        <v>1649</v>
      </c>
      <c r="T31" s="35">
        <f t="shared" si="24"/>
        <v>414</v>
      </c>
      <c r="U31" s="35">
        <f t="shared" si="19"/>
        <v>5198</v>
      </c>
      <c r="V31" s="26">
        <f t="shared" si="8"/>
        <v>7261</v>
      </c>
      <c r="W31" s="26">
        <f t="shared" si="20"/>
        <v>14462</v>
      </c>
      <c r="X31" s="26">
        <f t="shared" si="21"/>
        <v>766</v>
      </c>
      <c r="Y31" s="26">
        <f t="shared" si="22"/>
        <v>37360</v>
      </c>
      <c r="Z31" s="26">
        <f t="shared" si="9"/>
        <v>52588</v>
      </c>
      <c r="AA31" s="163">
        <f>W31*(1/AC3)/'May 12(1)'!C30*100</f>
        <v>1.4830949531495001</v>
      </c>
      <c r="AB31" s="163">
        <f>X31*(1/AC3)/'May 12(1)'!D30*100</f>
        <v>2.089470812875068</v>
      </c>
      <c r="AC31" s="163">
        <f>Y31*(1/AC3)/'May 12(1)'!E30*100</f>
        <v>1.5634298034246479</v>
      </c>
      <c r="AD31" s="163">
        <f>Z31*(1/AC3)/'May 12(1)'!F30*100</f>
        <v>1.5460688110575613</v>
      </c>
      <c r="AE31" s="26">
        <f>S31+'May 12(1)'!S30</f>
        <v>4760</v>
      </c>
      <c r="AF31" s="26">
        <f>T31+'May 12(1)'!T30</f>
        <v>264</v>
      </c>
      <c r="AG31" s="26">
        <f>U31+'May 12(1)'!U30</f>
        <v>15663</v>
      </c>
      <c r="AH31" s="26">
        <f t="shared" si="10"/>
        <v>20687</v>
      </c>
      <c r="AI31" s="26">
        <f>W31+'May 12(1)'!W30</f>
        <v>6688</v>
      </c>
      <c r="AJ31" s="26">
        <f>X31+'May 12(1)'!X30</f>
        <v>585</v>
      </c>
      <c r="AK31" s="26">
        <f>Y31+'May 12(1)'!Y30</f>
        <v>27346</v>
      </c>
      <c r="AL31" s="26">
        <f t="shared" si="11"/>
        <v>34619</v>
      </c>
      <c r="AM31" s="8"/>
      <c r="AN31" s="8"/>
      <c r="AO31" s="8"/>
      <c r="AP31" s="8"/>
      <c r="AQ31" s="42">
        <v>12795</v>
      </c>
      <c r="AR31" s="42">
        <v>352</v>
      </c>
      <c r="AS31" s="42">
        <v>32162</v>
      </c>
      <c r="AT31" s="258">
        <v>18</v>
      </c>
      <c r="AU31" s="258">
        <v>0</v>
      </c>
      <c r="AV31" s="258">
        <v>0</v>
      </c>
      <c r="AW31" s="42">
        <v>12813</v>
      </c>
      <c r="AX31" s="42">
        <v>352</v>
      </c>
      <c r="AY31" s="42">
        <v>32162</v>
      </c>
      <c r="AZ31" s="4">
        <f t="shared" si="12"/>
        <v>0</v>
      </c>
      <c r="BA31" s="4">
        <f t="shared" si="12"/>
        <v>0</v>
      </c>
      <c r="BB31" s="4">
        <f t="shared" si="12"/>
        <v>0</v>
      </c>
    </row>
    <row r="32" spans="1:54" ht="25.5" customHeight="1">
      <c r="A32" s="61">
        <v>26</v>
      </c>
      <c r="B32" s="46" t="s">
        <v>10</v>
      </c>
      <c r="C32" s="34">
        <v>6916</v>
      </c>
      <c r="D32" s="34">
        <v>673</v>
      </c>
      <c r="E32" s="34">
        <v>921</v>
      </c>
      <c r="F32" s="29">
        <f t="shared" si="4"/>
        <v>8510</v>
      </c>
      <c r="G32" s="29">
        <f t="shared" si="13"/>
        <v>11804</v>
      </c>
      <c r="H32" s="29">
        <f t="shared" si="14"/>
        <v>1457</v>
      </c>
      <c r="I32" s="29">
        <f t="shared" si="15"/>
        <v>1823</v>
      </c>
      <c r="J32" s="29">
        <f t="shared" si="5"/>
        <v>15084</v>
      </c>
      <c r="K32" s="34">
        <v>1763</v>
      </c>
      <c r="L32" s="34">
        <v>0</v>
      </c>
      <c r="M32" s="34">
        <v>0</v>
      </c>
      <c r="N32" s="29">
        <f t="shared" si="6"/>
        <v>1763</v>
      </c>
      <c r="O32" s="29">
        <f t="shared" si="16"/>
        <v>2046</v>
      </c>
      <c r="P32" s="29">
        <f t="shared" si="17"/>
        <v>0</v>
      </c>
      <c r="Q32" s="29">
        <f t="shared" si="18"/>
        <v>0</v>
      </c>
      <c r="R32" s="29">
        <f t="shared" si="7"/>
        <v>2046</v>
      </c>
      <c r="S32" s="33">
        <f t="shared" si="23"/>
        <v>8679</v>
      </c>
      <c r="T32" s="33">
        <f t="shared" si="24"/>
        <v>673</v>
      </c>
      <c r="U32" s="33">
        <f t="shared" si="19"/>
        <v>921</v>
      </c>
      <c r="V32" s="29">
        <f t="shared" si="8"/>
        <v>10273</v>
      </c>
      <c r="W32" s="29">
        <f t="shared" si="20"/>
        <v>13850</v>
      </c>
      <c r="X32" s="29">
        <f t="shared" si="21"/>
        <v>1457</v>
      </c>
      <c r="Y32" s="29">
        <f t="shared" si="22"/>
        <v>1823</v>
      </c>
      <c r="Z32" s="29">
        <f t="shared" si="9"/>
        <v>17130</v>
      </c>
      <c r="AA32" s="164">
        <f>W32*(1/AC3)/'May 12(1)'!C31*100</f>
        <v>1.6728164310431246</v>
      </c>
      <c r="AB32" s="164">
        <f>X32*(1/AC3)/'May 12(1)'!D31*100</f>
        <v>6.628451844775032</v>
      </c>
      <c r="AC32" s="164">
        <f>Y32*(1/AC3)/'May 12(1)'!E31*100</f>
        <v>0.1099363659608547</v>
      </c>
      <c r="AD32" s="164">
        <f>Z32*(1/AC3)/'May 12(1)'!F31*100</f>
        <v>0.6829713279625924</v>
      </c>
      <c r="AE32" s="29">
        <f>S32+'May 12(1)'!S31</f>
        <v>4097</v>
      </c>
      <c r="AF32" s="29">
        <f>T32+'May 12(1)'!T31</f>
        <v>190</v>
      </c>
      <c r="AG32" s="29">
        <f>U32+'May 12(1)'!U31</f>
        <v>4530</v>
      </c>
      <c r="AH32" s="29">
        <f t="shared" si="10"/>
        <v>8817</v>
      </c>
      <c r="AI32" s="29">
        <f>W32+'May 12(1)'!W31</f>
        <v>8334</v>
      </c>
      <c r="AJ32" s="29">
        <f>X32+'May 12(1)'!X31</f>
        <v>364</v>
      </c>
      <c r="AK32" s="29">
        <f>Y32+'May 12(1)'!Y31</f>
        <v>8562</v>
      </c>
      <c r="AL32" s="29">
        <f t="shared" si="11"/>
        <v>17260</v>
      </c>
      <c r="AM32" s="8"/>
      <c r="AN32" s="8"/>
      <c r="AO32" s="8"/>
      <c r="AP32" s="8"/>
      <c r="AQ32" s="42">
        <v>4888</v>
      </c>
      <c r="AR32" s="42">
        <v>784</v>
      </c>
      <c r="AS32" s="42">
        <v>902</v>
      </c>
      <c r="AT32" s="258">
        <v>283</v>
      </c>
      <c r="AU32" s="258">
        <v>0</v>
      </c>
      <c r="AV32" s="258">
        <v>0</v>
      </c>
      <c r="AW32" s="42">
        <v>5171</v>
      </c>
      <c r="AX32" s="42">
        <v>784</v>
      </c>
      <c r="AY32" s="42">
        <v>902</v>
      </c>
      <c r="AZ32" s="4">
        <f>AW32-AT32-AQ32</f>
        <v>0</v>
      </c>
      <c r="BA32" s="4">
        <f>AX32-AU32-AR32</f>
        <v>0</v>
      </c>
      <c r="BB32" s="4">
        <f>AY32-AV32-AS32</f>
        <v>0</v>
      </c>
    </row>
    <row r="33" spans="1:52" ht="25.5" customHeight="1">
      <c r="A33" s="212"/>
      <c r="B33" s="212" t="s">
        <v>11</v>
      </c>
      <c r="C33" s="286">
        <f>SUM(C7:C32)</f>
        <v>263905</v>
      </c>
      <c r="D33" s="286">
        <f>SUM(D7:D32)</f>
        <v>59649</v>
      </c>
      <c r="E33" s="286">
        <f>SUM(E7:E32)</f>
        <v>1344425</v>
      </c>
      <c r="F33" s="286">
        <f>SUM(F7:F32)</f>
        <v>1667979</v>
      </c>
      <c r="G33" s="286">
        <f>SUM(G7:G32)</f>
        <v>494572</v>
      </c>
      <c r="H33" s="286">
        <f aca="true" t="shared" si="26" ref="H33:R33">SUM(H7:H32)</f>
        <v>445846</v>
      </c>
      <c r="I33" s="286">
        <f t="shared" si="26"/>
        <v>3393053</v>
      </c>
      <c r="J33" s="286">
        <f t="shared" si="26"/>
        <v>4333471</v>
      </c>
      <c r="K33" s="286">
        <f t="shared" si="26"/>
        <v>238165</v>
      </c>
      <c r="L33" s="286">
        <f t="shared" si="26"/>
        <v>61047</v>
      </c>
      <c r="M33" s="286">
        <f t="shared" si="26"/>
        <v>49503</v>
      </c>
      <c r="N33" s="286">
        <f t="shared" si="26"/>
        <v>348715</v>
      </c>
      <c r="O33" s="286">
        <f t="shared" si="26"/>
        <v>374156</v>
      </c>
      <c r="P33" s="286">
        <f t="shared" si="26"/>
        <v>68682</v>
      </c>
      <c r="Q33" s="286">
        <f t="shared" si="26"/>
        <v>168648</v>
      </c>
      <c r="R33" s="286">
        <f t="shared" si="26"/>
        <v>611486</v>
      </c>
      <c r="S33" s="286">
        <f>SUM(S7:S32)</f>
        <v>502070</v>
      </c>
      <c r="T33" s="286">
        <f>SUM(T7:T32)</f>
        <v>120696</v>
      </c>
      <c r="U33" s="286">
        <f>SUM(U7:U32)</f>
        <v>1393928</v>
      </c>
      <c r="V33" s="286">
        <f>SUM(V7:V32)</f>
        <v>2016694</v>
      </c>
      <c r="W33" s="286">
        <f aca="true" t="shared" si="27" ref="W33:AE33">SUM(W7:W32)</f>
        <v>868728</v>
      </c>
      <c r="X33" s="286">
        <f t="shared" si="27"/>
        <v>514528</v>
      </c>
      <c r="Y33" s="286">
        <f t="shared" si="27"/>
        <v>3561701</v>
      </c>
      <c r="Z33" s="286">
        <f t="shared" si="27"/>
        <v>4944957</v>
      </c>
      <c r="AA33" s="289">
        <f>W33*(1/AC3)/'May 12(1)'!C32*100</f>
        <v>3.86655849375451</v>
      </c>
      <c r="AB33" s="289">
        <f>X33*(1/AC3)/'May 12(1)'!D32*100</f>
        <v>12.85062566278896</v>
      </c>
      <c r="AC33" s="289">
        <f>Y33*(1/AC3)/'May 12(1)'!E32*100</f>
        <v>3.7686338985820558</v>
      </c>
      <c r="AD33" s="289">
        <f>Z33*(1/AC3)/'May 12(1)'!F32*100</f>
        <v>4.0873926027221525</v>
      </c>
      <c r="AE33" s="286">
        <f t="shared" si="27"/>
        <v>138064</v>
      </c>
      <c r="AF33" s="286">
        <f aca="true" t="shared" si="28" ref="AF33:AL33">SUM(AF7:AF32)</f>
        <v>61406</v>
      </c>
      <c r="AG33" s="286">
        <f t="shared" si="28"/>
        <v>1371409</v>
      </c>
      <c r="AH33" s="286">
        <f t="shared" si="28"/>
        <v>1570879</v>
      </c>
      <c r="AI33" s="286">
        <f t="shared" si="28"/>
        <v>220660</v>
      </c>
      <c r="AJ33" s="286">
        <f t="shared" si="28"/>
        <v>95954</v>
      </c>
      <c r="AK33" s="286">
        <f t="shared" si="28"/>
        <v>3180416</v>
      </c>
      <c r="AL33" s="286">
        <f t="shared" si="28"/>
        <v>3497030</v>
      </c>
      <c r="AM33" s="8"/>
      <c r="AN33" s="8"/>
      <c r="AO33" s="8"/>
      <c r="AP33" s="8"/>
      <c r="AQ33" s="324">
        <v>230667</v>
      </c>
      <c r="AR33" s="324">
        <v>386197</v>
      </c>
      <c r="AS33" s="324">
        <v>2048628</v>
      </c>
      <c r="AT33" s="324">
        <v>135991</v>
      </c>
      <c r="AU33" s="324">
        <v>7635</v>
      </c>
      <c r="AV33" s="324">
        <v>119145</v>
      </c>
      <c r="AW33" s="324">
        <v>366658</v>
      </c>
      <c r="AX33" s="324">
        <v>393832</v>
      </c>
      <c r="AY33" s="324">
        <v>2167773</v>
      </c>
      <c r="AZ33" s="290"/>
    </row>
    <row r="34" spans="1:52" s="3" customFormat="1" ht="25.5" customHeight="1">
      <c r="A34" s="423" t="s">
        <v>148</v>
      </c>
      <c r="B34" s="423"/>
      <c r="C34" s="285">
        <f>C33/1000000</f>
        <v>0.263905</v>
      </c>
      <c r="D34" s="285">
        <f aca="true" t="shared" si="29" ref="D34:AL34">D33/1000000</f>
        <v>0.059649</v>
      </c>
      <c r="E34" s="285">
        <f t="shared" si="29"/>
        <v>1.344425</v>
      </c>
      <c r="F34" s="285">
        <f t="shared" si="29"/>
        <v>1.667979</v>
      </c>
      <c r="G34" s="285">
        <f t="shared" si="29"/>
        <v>0.494572</v>
      </c>
      <c r="H34" s="285">
        <f t="shared" si="29"/>
        <v>0.445846</v>
      </c>
      <c r="I34" s="285">
        <f t="shared" si="29"/>
        <v>3.393053</v>
      </c>
      <c r="J34" s="285">
        <f t="shared" si="29"/>
        <v>4.333471</v>
      </c>
      <c r="K34" s="285">
        <f t="shared" si="29"/>
        <v>0.238165</v>
      </c>
      <c r="L34" s="285">
        <f t="shared" si="29"/>
        <v>0.061047</v>
      </c>
      <c r="M34" s="285">
        <f t="shared" si="29"/>
        <v>0.049503</v>
      </c>
      <c r="N34" s="285">
        <f t="shared" si="29"/>
        <v>0.348715</v>
      </c>
      <c r="O34" s="285">
        <f t="shared" si="29"/>
        <v>0.374156</v>
      </c>
      <c r="P34" s="285">
        <f t="shared" si="29"/>
        <v>0.068682</v>
      </c>
      <c r="Q34" s="285">
        <f t="shared" si="29"/>
        <v>0.168648</v>
      </c>
      <c r="R34" s="285">
        <f t="shared" si="29"/>
        <v>0.611486</v>
      </c>
      <c r="S34" s="285">
        <f t="shared" si="29"/>
        <v>0.50207</v>
      </c>
      <c r="T34" s="285">
        <f t="shared" si="29"/>
        <v>0.120696</v>
      </c>
      <c r="U34" s="285">
        <f t="shared" si="29"/>
        <v>1.393928</v>
      </c>
      <c r="V34" s="285">
        <f t="shared" si="29"/>
        <v>2.016694</v>
      </c>
      <c r="W34" s="285">
        <f t="shared" si="29"/>
        <v>0.868728</v>
      </c>
      <c r="X34" s="285">
        <f t="shared" si="29"/>
        <v>0.514528</v>
      </c>
      <c r="Y34" s="285">
        <f t="shared" si="29"/>
        <v>3.561701</v>
      </c>
      <c r="Z34" s="285">
        <f t="shared" si="29"/>
        <v>4.944957</v>
      </c>
      <c r="AA34" s="285">
        <f t="shared" si="29"/>
        <v>3.86655849375451E-06</v>
      </c>
      <c r="AB34" s="285">
        <f t="shared" si="29"/>
        <v>1.285062566278896E-05</v>
      </c>
      <c r="AC34" s="285">
        <f t="shared" si="29"/>
        <v>3.7686338985820558E-06</v>
      </c>
      <c r="AD34" s="285">
        <f t="shared" si="29"/>
        <v>4.0873926027221524E-06</v>
      </c>
      <c r="AE34" s="285">
        <f t="shared" si="29"/>
        <v>0.138064</v>
      </c>
      <c r="AF34" s="285">
        <f t="shared" si="29"/>
        <v>0.061406</v>
      </c>
      <c r="AG34" s="285">
        <f t="shared" si="29"/>
        <v>1.371409</v>
      </c>
      <c r="AH34" s="285">
        <f t="shared" si="29"/>
        <v>1.570879</v>
      </c>
      <c r="AI34" s="285">
        <f t="shared" si="29"/>
        <v>0.22066</v>
      </c>
      <c r="AJ34" s="285">
        <f t="shared" si="29"/>
        <v>0.095954</v>
      </c>
      <c r="AK34" s="285">
        <f t="shared" si="29"/>
        <v>3.180416</v>
      </c>
      <c r="AL34" s="285">
        <f t="shared" si="29"/>
        <v>3.49703</v>
      </c>
      <c r="AM34" s="6"/>
      <c r="AN34" s="6"/>
      <c r="AO34" s="6"/>
      <c r="AP34" s="6"/>
      <c r="AQ34" s="288"/>
      <c r="AR34" s="288"/>
      <c r="AS34" s="288"/>
      <c r="AT34" s="288"/>
      <c r="AU34" s="288"/>
      <c r="AV34" s="288"/>
      <c r="AW34" s="288"/>
      <c r="AX34" s="288"/>
      <c r="AY34" s="288"/>
      <c r="AZ34" s="173"/>
    </row>
    <row r="35" spans="1:45" s="3" customFormat="1" ht="19.5" customHeight="1">
      <c r="A35" s="14"/>
      <c r="B35" s="17" t="s">
        <v>29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6"/>
      <c r="AN35" s="6"/>
      <c r="AO35" s="6"/>
      <c r="AP35" s="6"/>
      <c r="AQ35" s="6">
        <f>AW31-AT31-AQ31</f>
        <v>0</v>
      </c>
      <c r="AR35" s="3">
        <f>AX31-AU31-AR31</f>
        <v>0</v>
      </c>
      <c r="AS35" s="3">
        <f>AY31-AV31-AS31</f>
        <v>0</v>
      </c>
    </row>
    <row r="36" spans="1:38" ht="18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7"/>
      <c r="Y36" s="194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ht="18" customHeight="1">
      <c r="A37" s="18"/>
      <c r="B37" s="18" t="s">
        <v>30</v>
      </c>
      <c r="C37" s="18"/>
      <c r="D37" s="18"/>
      <c r="E37" s="18"/>
      <c r="F37" s="18"/>
      <c r="G37" s="168"/>
      <c r="H37" s="168"/>
      <c r="I37" s="168"/>
      <c r="J37" s="18"/>
      <c r="K37" s="18"/>
      <c r="L37" s="18"/>
      <c r="M37" s="18"/>
      <c r="N37" s="18"/>
      <c r="O37" s="168"/>
      <c r="P37" s="168"/>
      <c r="Q37" s="168"/>
      <c r="R37" s="18"/>
      <c r="S37" s="18"/>
      <c r="T37" s="18"/>
      <c r="U37" s="18"/>
      <c r="V37" s="18"/>
      <c r="W37" s="155"/>
      <c r="X37" s="155"/>
      <c r="Y37" s="22"/>
      <c r="Z37" s="155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1:38" ht="18" customHeight="1">
      <c r="A38" s="18"/>
      <c r="B38" s="18" t="s">
        <v>15</v>
      </c>
      <c r="C38" s="18"/>
      <c r="D38" s="18"/>
      <c r="E38" s="18"/>
      <c r="F38" s="18"/>
      <c r="G38" s="18"/>
      <c r="H38" s="168"/>
      <c r="I38" s="16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</row>
    <row r="39" spans="1:38" ht="18" customHeight="1">
      <c r="A39" s="19"/>
      <c r="B39" s="19" t="s">
        <v>58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ht="18" customHeight="1">
      <c r="A40" s="19"/>
      <c r="B40" s="19" t="s">
        <v>59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</row>
    <row r="41" spans="1:38" ht="18" customHeight="1">
      <c r="A41" s="18"/>
      <c r="B41" s="18" t="s">
        <v>80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23"/>
      <c r="X41" s="156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</row>
    <row r="42" spans="1:23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38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8" ht="15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.7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.75">
      <c r="A46" s="401"/>
      <c r="B46" s="40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ht="15" customHeight="1"/>
    <row r="48" spans="23:25" ht="15" customHeight="1">
      <c r="W48" s="50"/>
      <c r="X48" s="50"/>
      <c r="Y48" s="50"/>
    </row>
    <row r="49" spans="23:25" ht="15" customHeight="1">
      <c r="W49" s="50"/>
      <c r="X49" s="50"/>
      <c r="Y49" s="50"/>
    </row>
    <row r="50" spans="23:25" ht="15" customHeight="1">
      <c r="W50" s="50"/>
      <c r="X50" s="50"/>
      <c r="Y50" s="50"/>
    </row>
    <row r="51" spans="23:25" ht="15" customHeight="1">
      <c r="W51" s="50"/>
      <c r="X51" s="50"/>
      <c r="Y51" s="50"/>
    </row>
    <row r="52" spans="2:38" ht="18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51"/>
      <c r="X52" s="51"/>
      <c r="Y52" s="50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2:38" ht="18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51"/>
      <c r="X53" s="51"/>
      <c r="Y53" s="50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2:38" ht="18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51"/>
      <c r="X54" s="51"/>
      <c r="Y54" s="50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2:38" ht="18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20"/>
      <c r="X55" s="120"/>
      <c r="Y55" s="5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2:38" ht="18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20"/>
      <c r="X56" s="120"/>
      <c r="Y56" s="5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2:38" ht="18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9"/>
      <c r="X57" s="119"/>
      <c r="Y57" s="5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2:38" ht="18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51"/>
      <c r="X58" s="51"/>
      <c r="Y58" s="5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23:25" ht="15">
      <c r="W59" s="50"/>
      <c r="X59" s="50"/>
      <c r="Y59" s="50"/>
    </row>
    <row r="60" spans="23:25" ht="15">
      <c r="W60" s="50"/>
      <c r="X60" s="50"/>
      <c r="Y60" s="50"/>
    </row>
    <row r="61" spans="23:25" ht="15">
      <c r="W61" s="50"/>
      <c r="X61" s="50"/>
      <c r="Y61" s="50"/>
    </row>
    <row r="62" spans="23:25" ht="15">
      <c r="W62" s="50"/>
      <c r="X62" s="50"/>
      <c r="Y62" s="50"/>
    </row>
    <row r="63" spans="23:25" ht="15">
      <c r="W63" s="50"/>
      <c r="X63" s="50"/>
      <c r="Y63" s="50"/>
    </row>
    <row r="64" spans="23:25" ht="15">
      <c r="W64" s="50"/>
      <c r="X64" s="50"/>
      <c r="Y64" s="50"/>
    </row>
    <row r="65" spans="23:25" ht="15">
      <c r="W65" s="50"/>
      <c r="X65" s="50"/>
      <c r="Y65" s="50"/>
    </row>
    <row r="66" spans="23:25" ht="15">
      <c r="W66" s="50"/>
      <c r="X66" s="50"/>
      <c r="Y66" s="50"/>
    </row>
    <row r="67" spans="23:25" ht="15">
      <c r="W67" s="50"/>
      <c r="X67" s="50"/>
      <c r="Y67" s="50"/>
    </row>
    <row r="68" spans="23:25" ht="15">
      <c r="W68" s="50"/>
      <c r="X68" s="50"/>
      <c r="Y68" s="50"/>
    </row>
    <row r="69" spans="23:25" ht="15">
      <c r="W69" s="50"/>
      <c r="X69" s="50"/>
      <c r="Y69" s="50"/>
    </row>
    <row r="70" spans="23:25" ht="15">
      <c r="W70" s="50"/>
      <c r="X70" s="50"/>
      <c r="Y70" s="50"/>
    </row>
    <row r="71" spans="23:25" ht="15">
      <c r="W71" s="50"/>
      <c r="X71" s="50"/>
      <c r="Y71" s="50"/>
    </row>
    <row r="72" spans="23:25" ht="15">
      <c r="W72" s="50"/>
      <c r="X72" s="50"/>
      <c r="Y72" s="50"/>
    </row>
    <row r="73" spans="23:25" ht="15">
      <c r="W73" s="50"/>
      <c r="X73" s="50"/>
      <c r="Y73" s="50"/>
    </row>
  </sheetData>
  <sheetProtection/>
  <mergeCells count="20">
    <mergeCell ref="AW4:AY5"/>
    <mergeCell ref="S4:Z4"/>
    <mergeCell ref="AA4:AD5"/>
    <mergeCell ref="A46:B46"/>
    <mergeCell ref="AQ4:AS5"/>
    <mergeCell ref="K4:R4"/>
    <mergeCell ref="S5:V5"/>
    <mergeCell ref="W5:Z5"/>
    <mergeCell ref="AE5:AH5"/>
    <mergeCell ref="AI5:AL5"/>
    <mergeCell ref="A34:B34"/>
    <mergeCell ref="AT4:AV5"/>
    <mergeCell ref="AE4:AL4"/>
    <mergeCell ref="K5:N5"/>
    <mergeCell ref="O5:R5"/>
    <mergeCell ref="A4:A6"/>
    <mergeCell ref="B4:B6"/>
    <mergeCell ref="C5:F5"/>
    <mergeCell ref="G5:J5"/>
    <mergeCell ref="C4:J4"/>
  </mergeCells>
  <conditionalFormatting sqref="S7:S32 T22:U22">
    <cfRule type="expression" priority="59" dxfId="3" stopIfTrue="1">
      <formula>LARGE((#REF!),MIN(5,COUNT(#REF!)))&lt;=S7</formula>
    </cfRule>
  </conditionalFormatting>
  <conditionalFormatting sqref="W7:Y32">
    <cfRule type="top10" priority="20" dxfId="3" stopIfTrue="1" rank="5"/>
    <cfRule type="top10" priority="21" dxfId="1" stopIfTrue="1" rank="10"/>
    <cfRule type="top10" priority="22" dxfId="0" stopIfTrue="1" rank="5" bottom="1"/>
    <cfRule type="top10" priority="58" dxfId="0" stopIfTrue="1" rank="5"/>
  </conditionalFormatting>
  <conditionalFormatting sqref="X7:X32">
    <cfRule type="top10" priority="18" dxfId="0" stopIfTrue="1" rank="5" bottom="1"/>
    <cfRule type="top10" priority="19" dxfId="3" stopIfTrue="1" rank="5"/>
    <cfRule type="top10" priority="57" dxfId="0" stopIfTrue="1" rank="5"/>
  </conditionalFormatting>
  <conditionalFormatting sqref="Y7:Y32">
    <cfRule type="top10" priority="16" dxfId="0" stopIfTrue="1" rank="5" bottom="1"/>
    <cfRule type="top10" priority="17" dxfId="3" stopIfTrue="1" rank="5"/>
    <cfRule type="top10" priority="56" dxfId="0" stopIfTrue="1" rank="5"/>
  </conditionalFormatting>
  <conditionalFormatting sqref="AA7:AA32">
    <cfRule type="top10" priority="14" dxfId="0" stopIfTrue="1" rank="5" bottom="1"/>
    <cfRule type="top10" priority="15" dxfId="3" stopIfTrue="1" rank="5"/>
  </conditionalFormatting>
  <conditionalFormatting sqref="AB7:AB32">
    <cfRule type="top10" priority="11" dxfId="0" stopIfTrue="1" rank="5" bottom="1"/>
    <cfRule type="top10" priority="12" dxfId="3" stopIfTrue="1" rank="5"/>
    <cfRule type="top10" priority="13" dxfId="1" stopIfTrue="1" rank="5"/>
  </conditionalFormatting>
  <conditionalFormatting sqref="AC7:AC32">
    <cfRule type="top10" priority="9" dxfId="0" stopIfTrue="1" rank="5" bottom="1"/>
    <cfRule type="top10" priority="10" dxfId="3" stopIfTrue="1" rank="5"/>
  </conditionalFormatting>
  <conditionalFormatting sqref="AI7:AI32">
    <cfRule type="top10" priority="7" dxfId="3" stopIfTrue="1" rank="5" bottom="1"/>
    <cfRule type="top10" priority="8" dxfId="0" stopIfTrue="1" rank="5"/>
  </conditionalFormatting>
  <conditionalFormatting sqref="AJ7:AJ32">
    <cfRule type="top10" priority="5" dxfId="3" stopIfTrue="1" rank="5" bottom="1"/>
    <cfRule type="top10" priority="6" dxfId="0" stopIfTrue="1" rank="5"/>
  </conditionalFormatting>
  <conditionalFormatting sqref="AK7:AK32">
    <cfRule type="top10" priority="3" dxfId="3" stopIfTrue="1" rank="5" bottom="1"/>
    <cfRule type="top10" priority="4" dxfId="0" stopIfTrue="1" rank="5"/>
  </conditionalFormatting>
  <conditionalFormatting sqref="AD7:AD32">
    <cfRule type="top10" priority="1" dxfId="0" stopIfTrue="1" rank="5" bottom="1"/>
    <cfRule type="top10" priority="2" dxfId="3" stopIfTrue="1" rank="5"/>
  </conditionalFormatting>
  <printOptions/>
  <pageMargins left="0.15748031496062992" right="0.15748031496062992" top="0.31496062992125984" bottom="0.31496062992125984" header="0.2362204724409449" footer="0.2362204724409449"/>
  <pageSetup horizontalDpi="600" verticalDpi="600" orientation="landscape" scale="60" r:id="rId1"/>
  <rowBreaks count="1" manualBreakCount="1">
    <brk id="4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7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2" sqref="P2"/>
    </sheetView>
  </sheetViews>
  <sheetFormatPr defaultColWidth="7.8515625" defaultRowHeight="12.75"/>
  <cols>
    <col min="1" max="1" width="4.421875" style="70" customWidth="1"/>
    <col min="2" max="2" width="12.28125" style="70" customWidth="1"/>
    <col min="3" max="3" width="9.8515625" style="70" customWidth="1"/>
    <col min="4" max="4" width="8.8515625" style="70" customWidth="1"/>
    <col min="5" max="5" width="7.8515625" style="70" customWidth="1"/>
    <col min="6" max="8" width="9.57421875" style="70" customWidth="1"/>
    <col min="9" max="9" width="7.140625" style="70" customWidth="1"/>
    <col min="10" max="10" width="9.28125" style="70" customWidth="1"/>
    <col min="11" max="11" width="10.421875" style="70" hidden="1" customWidth="1"/>
    <col min="12" max="12" width="8.28125" style="70" hidden="1" customWidth="1"/>
    <col min="13" max="13" width="8.140625" style="70" hidden="1" customWidth="1"/>
    <col min="14" max="14" width="0.13671875" style="70" hidden="1" customWidth="1"/>
    <col min="15" max="15" width="9.7109375" style="70" customWidth="1"/>
    <col min="16" max="16" width="7.57421875" style="70" customWidth="1"/>
    <col min="17" max="17" width="8.140625" style="70" customWidth="1"/>
    <col min="18" max="18" width="9.8515625" style="70" customWidth="1"/>
    <col min="19" max="19" width="9.140625" style="70" customWidth="1"/>
    <col min="20" max="20" width="8.00390625" style="70" customWidth="1"/>
    <col min="21" max="21" width="8.28125" style="70" customWidth="1"/>
    <col min="22" max="22" width="10.57421875" style="70" bestFit="1" customWidth="1"/>
    <col min="23" max="23" width="9.00390625" style="70" customWidth="1"/>
    <col min="24" max="24" width="8.8515625" style="70" customWidth="1"/>
    <col min="25" max="25" width="8.28125" style="70" customWidth="1"/>
    <col min="26" max="27" width="9.7109375" style="70" customWidth="1"/>
    <col min="28" max="29" width="8.28125" style="70" customWidth="1"/>
    <col min="30" max="30" width="9.28125" style="70" customWidth="1"/>
    <col min="31" max="33" width="7.8515625" style="70" customWidth="1"/>
    <col min="34" max="34" width="13.421875" style="70" bestFit="1" customWidth="1"/>
    <col min="35" max="35" width="11.28125" style="70" bestFit="1" customWidth="1"/>
    <col min="36" max="36" width="13.00390625" style="70" bestFit="1" customWidth="1"/>
    <col min="37" max="49" width="7.8515625" style="70" customWidth="1"/>
    <col min="50" max="50" width="13.7109375" style="70" customWidth="1"/>
    <col min="51" max="16384" width="7.8515625" style="70" customWidth="1"/>
  </cols>
  <sheetData>
    <row r="1" spans="1:26" ht="13.5" customHeight="1">
      <c r="A1" s="76"/>
      <c r="B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3"/>
      <c r="T1" s="73"/>
      <c r="U1" s="73"/>
      <c r="V1" s="73"/>
      <c r="W1" s="73"/>
      <c r="X1" s="73"/>
      <c r="Y1" s="73"/>
      <c r="Z1" s="73"/>
    </row>
    <row r="2" spans="1:25" ht="16.5" customHeight="1">
      <c r="A2" s="77" t="s">
        <v>203</v>
      </c>
      <c r="B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R2" s="1" t="str">
        <f>'May 12(2)'!AE1</f>
        <v>No.1-2(1)/2012-CP&amp;M-LTP    </v>
      </c>
      <c r="S2" s="79"/>
      <c r="T2" s="79"/>
      <c r="U2" s="79"/>
      <c r="V2" s="79"/>
      <c r="W2" s="79"/>
      <c r="X2" s="395"/>
      <c r="Y2" s="71" t="s">
        <v>200</v>
      </c>
    </row>
    <row r="3" spans="1:26" ht="9" customHeight="1">
      <c r="A3" s="71"/>
      <c r="B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  <c r="T3" s="72"/>
      <c r="U3" s="72"/>
      <c r="V3" s="72"/>
      <c r="W3" s="72"/>
      <c r="X3" s="72"/>
      <c r="Y3" s="72"/>
      <c r="Z3" s="73"/>
    </row>
    <row r="4" spans="1:36" ht="36" customHeight="1">
      <c r="A4" s="400" t="s">
        <v>18</v>
      </c>
      <c r="B4" s="438" t="s">
        <v>17</v>
      </c>
      <c r="C4" s="398" t="s">
        <v>180</v>
      </c>
      <c r="D4" s="399"/>
      <c r="E4" s="399"/>
      <c r="F4" s="432"/>
      <c r="G4" s="397" t="s">
        <v>204</v>
      </c>
      <c r="H4" s="397"/>
      <c r="I4" s="397"/>
      <c r="J4" s="397"/>
      <c r="K4" s="398" t="s">
        <v>184</v>
      </c>
      <c r="L4" s="399"/>
      <c r="M4" s="399"/>
      <c r="N4" s="399"/>
      <c r="O4" s="398" t="s">
        <v>181</v>
      </c>
      <c r="P4" s="399"/>
      <c r="Q4" s="399"/>
      <c r="R4" s="432"/>
      <c r="S4" s="398" t="s">
        <v>182</v>
      </c>
      <c r="T4" s="399"/>
      <c r="U4" s="399"/>
      <c r="V4" s="399"/>
      <c r="W4" s="399"/>
      <c r="X4" s="399"/>
      <c r="Y4" s="399"/>
      <c r="Z4" s="432"/>
      <c r="AE4" s="121"/>
      <c r="AF4" s="121"/>
      <c r="AG4" s="121"/>
      <c r="AH4" s="428"/>
      <c r="AI4" s="428"/>
      <c r="AJ4" s="428"/>
    </row>
    <row r="5" spans="1:36" ht="18" customHeight="1">
      <c r="A5" s="437"/>
      <c r="B5" s="439"/>
      <c r="C5" s="400" t="s">
        <v>26</v>
      </c>
      <c r="D5" s="400" t="s">
        <v>21</v>
      </c>
      <c r="E5" s="400" t="s">
        <v>1</v>
      </c>
      <c r="F5" s="400" t="s">
        <v>2</v>
      </c>
      <c r="G5" s="397" t="s">
        <v>26</v>
      </c>
      <c r="H5" s="397" t="s">
        <v>21</v>
      </c>
      <c r="I5" s="397" t="s">
        <v>1</v>
      </c>
      <c r="J5" s="397" t="s">
        <v>2</v>
      </c>
      <c r="K5" s="400" t="s">
        <v>26</v>
      </c>
      <c r="L5" s="400" t="s">
        <v>21</v>
      </c>
      <c r="M5" s="400" t="s">
        <v>1</v>
      </c>
      <c r="N5" s="400" t="s">
        <v>2</v>
      </c>
      <c r="O5" s="400" t="s">
        <v>26</v>
      </c>
      <c r="P5" s="400" t="s">
        <v>23</v>
      </c>
      <c r="Q5" s="400" t="s">
        <v>1</v>
      </c>
      <c r="R5" s="400" t="s">
        <v>2</v>
      </c>
      <c r="S5" s="433" t="s">
        <v>14</v>
      </c>
      <c r="T5" s="434"/>
      <c r="U5" s="434"/>
      <c r="V5" s="435"/>
      <c r="W5" s="429" t="s">
        <v>183</v>
      </c>
      <c r="X5" s="430"/>
      <c r="Y5" s="430"/>
      <c r="Z5" s="431"/>
      <c r="AE5" s="121"/>
      <c r="AF5" s="121"/>
      <c r="AG5" s="121"/>
      <c r="AH5" s="428"/>
      <c r="AI5" s="428"/>
      <c r="AJ5" s="428"/>
    </row>
    <row r="6" spans="1:36" ht="29.25" customHeight="1">
      <c r="A6" s="427"/>
      <c r="B6" s="440"/>
      <c r="C6" s="427"/>
      <c r="D6" s="427"/>
      <c r="E6" s="427"/>
      <c r="F6" s="427"/>
      <c r="G6" s="397"/>
      <c r="H6" s="397"/>
      <c r="I6" s="397"/>
      <c r="J6" s="397"/>
      <c r="K6" s="427"/>
      <c r="L6" s="427"/>
      <c r="M6" s="427"/>
      <c r="N6" s="427"/>
      <c r="O6" s="427"/>
      <c r="P6" s="427"/>
      <c r="Q6" s="427"/>
      <c r="R6" s="427"/>
      <c r="S6" s="80" t="s">
        <v>26</v>
      </c>
      <c r="T6" s="80" t="s">
        <v>23</v>
      </c>
      <c r="U6" s="80" t="s">
        <v>1</v>
      </c>
      <c r="V6" s="80" t="s">
        <v>2</v>
      </c>
      <c r="W6" s="80" t="s">
        <v>26</v>
      </c>
      <c r="X6" s="80" t="s">
        <v>23</v>
      </c>
      <c r="Y6" s="80" t="s">
        <v>1</v>
      </c>
      <c r="Z6" s="80" t="s">
        <v>2</v>
      </c>
      <c r="AE6" s="121"/>
      <c r="AF6" s="121"/>
      <c r="AG6" s="121"/>
      <c r="AH6" s="121"/>
      <c r="AI6" s="121"/>
      <c r="AJ6" s="121"/>
    </row>
    <row r="7" spans="1:36" ht="18" customHeight="1">
      <c r="A7" s="81">
        <v>1</v>
      </c>
      <c r="B7" s="82" t="s">
        <v>39</v>
      </c>
      <c r="C7" s="340">
        <v>17</v>
      </c>
      <c r="D7" s="340">
        <v>0</v>
      </c>
      <c r="E7" s="340">
        <v>0</v>
      </c>
      <c r="F7" s="83">
        <f aca="true" t="shared" si="0" ref="F7:F32">C7+D7+E7</f>
        <v>17</v>
      </c>
      <c r="G7" s="240">
        <v>9</v>
      </c>
      <c r="H7" s="240">
        <v>0</v>
      </c>
      <c r="I7" s="240">
        <v>0</v>
      </c>
      <c r="J7" s="240">
        <f>SUM(G7:I7)</f>
        <v>9</v>
      </c>
      <c r="K7" s="340">
        <v>10</v>
      </c>
      <c r="L7" s="340">
        <v>0</v>
      </c>
      <c r="M7" s="340">
        <v>0</v>
      </c>
      <c r="N7" s="123">
        <f aca="true" t="shared" si="1" ref="N7:N32">K7+L7+M7</f>
        <v>10</v>
      </c>
      <c r="O7" s="123">
        <v>0</v>
      </c>
      <c r="P7" s="123">
        <v>0</v>
      </c>
      <c r="Q7" s="123">
        <v>0</v>
      </c>
      <c r="R7" s="123">
        <f>O7+P7+Q7</f>
        <v>0</v>
      </c>
      <c r="S7" s="118">
        <f>K7-O7</f>
        <v>10</v>
      </c>
      <c r="T7" s="118">
        <f>L7-P7</f>
        <v>0</v>
      </c>
      <c r="U7" s="118">
        <f>M7-Q7</f>
        <v>0</v>
      </c>
      <c r="V7" s="118">
        <f>S7+T7+U7</f>
        <v>10</v>
      </c>
      <c r="W7" s="118">
        <f aca="true" t="shared" si="2" ref="W7:W32">C7-O7</f>
        <v>17</v>
      </c>
      <c r="X7" s="118">
        <f aca="true" t="shared" si="3" ref="X7:X32">D7-P7</f>
        <v>0</v>
      </c>
      <c r="Y7" s="118">
        <f aca="true" t="shared" si="4" ref="Y7:Y32">E7-Q7</f>
        <v>0</v>
      </c>
      <c r="Z7" s="118">
        <f>W7+X7+Y7</f>
        <v>17</v>
      </c>
      <c r="AE7" s="84"/>
      <c r="AF7" s="84"/>
      <c r="AG7" s="84"/>
      <c r="AH7" s="84"/>
      <c r="AI7" s="84"/>
      <c r="AJ7" s="84"/>
    </row>
    <row r="8" spans="1:36" ht="18" customHeight="1">
      <c r="A8" s="85">
        <v>2</v>
      </c>
      <c r="B8" s="86" t="s">
        <v>65</v>
      </c>
      <c r="C8" s="341">
        <v>7160</v>
      </c>
      <c r="D8" s="341">
        <v>0</v>
      </c>
      <c r="E8" s="318">
        <v>0</v>
      </c>
      <c r="F8" s="87">
        <f t="shared" si="0"/>
        <v>7160</v>
      </c>
      <c r="G8" s="318">
        <v>6639</v>
      </c>
      <c r="H8" s="318">
        <v>0</v>
      </c>
      <c r="I8" s="318">
        <v>0</v>
      </c>
      <c r="J8" s="179">
        <f aca="true" t="shared" si="5" ref="J8:J32">SUM(G8:I8)</f>
        <v>6639</v>
      </c>
      <c r="K8" s="341">
        <v>6857</v>
      </c>
      <c r="L8" s="341">
        <v>0</v>
      </c>
      <c r="M8" s="318">
        <v>0</v>
      </c>
      <c r="N8" s="123">
        <f t="shared" si="1"/>
        <v>6857</v>
      </c>
      <c r="O8" s="338">
        <v>6857</v>
      </c>
      <c r="P8" s="338">
        <v>0</v>
      </c>
      <c r="Q8" s="338">
        <v>0</v>
      </c>
      <c r="R8" s="87">
        <f>O8+P8+Q8</f>
        <v>6857</v>
      </c>
      <c r="S8" s="369">
        <f aca="true" t="shared" si="6" ref="S8:T27">K8-O8</f>
        <v>0</v>
      </c>
      <c r="T8" s="369">
        <f aca="true" t="shared" si="7" ref="T8:T23">L8-P8</f>
        <v>0</v>
      </c>
      <c r="U8" s="369">
        <f aca="true" t="shared" si="8" ref="U8:U32">M8-Q8</f>
        <v>0</v>
      </c>
      <c r="V8" s="369">
        <f aca="true" t="shared" si="9" ref="V8:V32">S8+T8+U8</f>
        <v>0</v>
      </c>
      <c r="W8" s="369">
        <f t="shared" si="2"/>
        <v>303</v>
      </c>
      <c r="X8" s="369">
        <f t="shared" si="3"/>
        <v>0</v>
      </c>
      <c r="Y8" s="369">
        <f t="shared" si="4"/>
        <v>0</v>
      </c>
      <c r="Z8" s="369">
        <f aca="true" t="shared" si="10" ref="Z8:Z13">W8+X8+Y8</f>
        <v>303</v>
      </c>
      <c r="AE8" s="84"/>
      <c r="AF8" s="84"/>
      <c r="AG8" s="84"/>
      <c r="AH8" s="84"/>
      <c r="AI8" s="84"/>
      <c r="AJ8" s="84"/>
    </row>
    <row r="9" spans="1:43" ht="18" customHeight="1">
      <c r="A9" s="88">
        <v>3</v>
      </c>
      <c r="B9" s="89" t="s">
        <v>3</v>
      </c>
      <c r="C9" s="317">
        <v>88</v>
      </c>
      <c r="D9" s="317">
        <v>0</v>
      </c>
      <c r="E9" s="317">
        <v>0</v>
      </c>
      <c r="F9" s="90">
        <f t="shared" si="0"/>
        <v>88</v>
      </c>
      <c r="G9" s="317">
        <v>56</v>
      </c>
      <c r="H9" s="317">
        <v>0</v>
      </c>
      <c r="I9" s="317">
        <v>0</v>
      </c>
      <c r="J9" s="180">
        <f t="shared" si="5"/>
        <v>56</v>
      </c>
      <c r="K9" s="317">
        <v>3</v>
      </c>
      <c r="L9" s="317">
        <v>0</v>
      </c>
      <c r="M9" s="317">
        <v>0</v>
      </c>
      <c r="N9" s="123">
        <f t="shared" si="1"/>
        <v>3</v>
      </c>
      <c r="O9" s="363">
        <v>0</v>
      </c>
      <c r="P9" s="363">
        <v>0</v>
      </c>
      <c r="Q9" s="363">
        <v>0</v>
      </c>
      <c r="R9" s="90">
        <f aca="true" t="shared" si="11" ref="R9:R32">O9+P9+Q9</f>
        <v>0</v>
      </c>
      <c r="S9" s="370">
        <f t="shared" si="6"/>
        <v>3</v>
      </c>
      <c r="T9" s="370">
        <f t="shared" si="7"/>
        <v>0</v>
      </c>
      <c r="U9" s="370">
        <f t="shared" si="8"/>
        <v>0</v>
      </c>
      <c r="V9" s="370">
        <f t="shared" si="9"/>
        <v>3</v>
      </c>
      <c r="W9" s="370">
        <f t="shared" si="2"/>
        <v>88</v>
      </c>
      <c r="X9" s="370">
        <f t="shared" si="3"/>
        <v>0</v>
      </c>
      <c r="Y9" s="370">
        <f t="shared" si="4"/>
        <v>0</v>
      </c>
      <c r="Z9" s="370">
        <f t="shared" si="10"/>
        <v>88</v>
      </c>
      <c r="AE9" s="84"/>
      <c r="AF9" s="84"/>
      <c r="AG9" s="84"/>
      <c r="AH9" s="84"/>
      <c r="AI9" s="84"/>
      <c r="AJ9" s="84"/>
      <c r="AQ9" s="70" t="s">
        <v>4</v>
      </c>
    </row>
    <row r="10" spans="1:43" ht="18" customHeight="1">
      <c r="A10" s="81">
        <v>4</v>
      </c>
      <c r="B10" s="82" t="s">
        <v>31</v>
      </c>
      <c r="C10" s="240">
        <v>81</v>
      </c>
      <c r="D10" s="240">
        <v>0</v>
      </c>
      <c r="E10" s="240">
        <v>0</v>
      </c>
      <c r="F10" s="83">
        <f t="shared" si="0"/>
        <v>81</v>
      </c>
      <c r="G10" s="240">
        <v>173</v>
      </c>
      <c r="H10" s="240">
        <v>0</v>
      </c>
      <c r="I10" s="240">
        <v>0</v>
      </c>
      <c r="J10" s="178">
        <f t="shared" si="5"/>
        <v>173</v>
      </c>
      <c r="K10" s="240">
        <v>35</v>
      </c>
      <c r="L10" s="240">
        <v>0</v>
      </c>
      <c r="M10" s="240">
        <v>0</v>
      </c>
      <c r="N10" s="123">
        <f t="shared" si="1"/>
        <v>35</v>
      </c>
      <c r="O10" s="123">
        <v>26</v>
      </c>
      <c r="P10" s="123">
        <v>0</v>
      </c>
      <c r="Q10" s="123">
        <v>0</v>
      </c>
      <c r="R10" s="83">
        <f t="shared" si="11"/>
        <v>26</v>
      </c>
      <c r="S10" s="118">
        <f t="shared" si="6"/>
        <v>9</v>
      </c>
      <c r="T10" s="118">
        <f t="shared" si="7"/>
        <v>0</v>
      </c>
      <c r="U10" s="118">
        <f t="shared" si="8"/>
        <v>0</v>
      </c>
      <c r="V10" s="118">
        <f t="shared" si="9"/>
        <v>9</v>
      </c>
      <c r="W10" s="118">
        <f t="shared" si="2"/>
        <v>55</v>
      </c>
      <c r="X10" s="118">
        <f t="shared" si="3"/>
        <v>0</v>
      </c>
      <c r="Y10" s="118">
        <f t="shared" si="4"/>
        <v>0</v>
      </c>
      <c r="Z10" s="118">
        <f t="shared" si="10"/>
        <v>55</v>
      </c>
      <c r="AE10" s="84"/>
      <c r="AF10" s="84"/>
      <c r="AG10" s="84"/>
      <c r="AH10" s="84"/>
      <c r="AI10" s="84"/>
      <c r="AJ10" s="84"/>
      <c r="AQ10" s="70" t="s">
        <v>4</v>
      </c>
    </row>
    <row r="11" spans="1:43" ht="18" customHeight="1">
      <c r="A11" s="85">
        <v>5</v>
      </c>
      <c r="B11" s="86" t="s">
        <v>5</v>
      </c>
      <c r="C11" s="318">
        <v>0</v>
      </c>
      <c r="D11" s="318">
        <v>0</v>
      </c>
      <c r="E11" s="318">
        <v>0</v>
      </c>
      <c r="F11" s="87">
        <f t="shared" si="0"/>
        <v>0</v>
      </c>
      <c r="G11" s="318">
        <v>0</v>
      </c>
      <c r="H11" s="318">
        <v>0</v>
      </c>
      <c r="I11" s="318">
        <v>0</v>
      </c>
      <c r="J11" s="179">
        <f t="shared" si="5"/>
        <v>0</v>
      </c>
      <c r="K11" s="318">
        <v>0</v>
      </c>
      <c r="L11" s="318">
        <v>0</v>
      </c>
      <c r="M11" s="318">
        <v>0</v>
      </c>
      <c r="N11" s="123">
        <f t="shared" si="1"/>
        <v>0</v>
      </c>
      <c r="O11" s="364">
        <v>0</v>
      </c>
      <c r="P11" s="364">
        <v>0</v>
      </c>
      <c r="Q11" s="364">
        <v>0</v>
      </c>
      <c r="R11" s="87">
        <f t="shared" si="11"/>
        <v>0</v>
      </c>
      <c r="S11" s="369">
        <f t="shared" si="6"/>
        <v>0</v>
      </c>
      <c r="T11" s="369">
        <f t="shared" si="7"/>
        <v>0</v>
      </c>
      <c r="U11" s="369">
        <f t="shared" si="8"/>
        <v>0</v>
      </c>
      <c r="V11" s="369">
        <f t="shared" si="9"/>
        <v>0</v>
      </c>
      <c r="W11" s="369">
        <f t="shared" si="2"/>
        <v>0</v>
      </c>
      <c r="X11" s="369">
        <f t="shared" si="3"/>
        <v>0</v>
      </c>
      <c r="Y11" s="369">
        <f t="shared" si="4"/>
        <v>0</v>
      </c>
      <c r="Z11" s="369">
        <f t="shared" si="10"/>
        <v>0</v>
      </c>
      <c r="AE11" s="84"/>
      <c r="AF11" s="84"/>
      <c r="AG11" s="84"/>
      <c r="AH11" s="84"/>
      <c r="AI11" s="84"/>
      <c r="AJ11" s="84"/>
      <c r="AQ11" s="70" t="s">
        <v>4</v>
      </c>
    </row>
    <row r="12" spans="1:43" ht="18" customHeight="1">
      <c r="A12" s="88">
        <v>6</v>
      </c>
      <c r="B12" s="89" t="s">
        <v>32</v>
      </c>
      <c r="C12" s="317">
        <v>3396</v>
      </c>
      <c r="D12" s="317">
        <v>0</v>
      </c>
      <c r="E12" s="317">
        <v>0</v>
      </c>
      <c r="F12" s="90">
        <f t="shared" si="0"/>
        <v>3396</v>
      </c>
      <c r="G12" s="317">
        <v>4920</v>
      </c>
      <c r="H12" s="317">
        <v>0</v>
      </c>
      <c r="I12" s="317">
        <v>0</v>
      </c>
      <c r="J12" s="180">
        <f t="shared" si="5"/>
        <v>4920</v>
      </c>
      <c r="K12" s="317">
        <v>2553</v>
      </c>
      <c r="L12" s="317">
        <v>0</v>
      </c>
      <c r="M12" s="317">
        <v>0</v>
      </c>
      <c r="N12" s="123">
        <f t="shared" si="1"/>
        <v>2553</v>
      </c>
      <c r="O12" s="363">
        <v>2255</v>
      </c>
      <c r="P12" s="363">
        <v>0</v>
      </c>
      <c r="Q12" s="363">
        <v>0</v>
      </c>
      <c r="R12" s="90">
        <f t="shared" si="11"/>
        <v>2255</v>
      </c>
      <c r="S12" s="370">
        <f t="shared" si="6"/>
        <v>298</v>
      </c>
      <c r="T12" s="370">
        <f t="shared" si="7"/>
        <v>0</v>
      </c>
      <c r="U12" s="370">
        <f t="shared" si="8"/>
        <v>0</v>
      </c>
      <c r="V12" s="370">
        <f t="shared" si="9"/>
        <v>298</v>
      </c>
      <c r="W12" s="370">
        <f t="shared" si="2"/>
        <v>1141</v>
      </c>
      <c r="X12" s="370">
        <f t="shared" si="3"/>
        <v>0</v>
      </c>
      <c r="Y12" s="370">
        <f t="shared" si="4"/>
        <v>0</v>
      </c>
      <c r="Z12" s="370">
        <f t="shared" si="10"/>
        <v>1141</v>
      </c>
      <c r="AE12" s="84"/>
      <c r="AF12" s="84"/>
      <c r="AG12" s="84"/>
      <c r="AH12" s="84"/>
      <c r="AI12" s="84"/>
      <c r="AJ12" s="84"/>
      <c r="AQ12" s="70" t="s">
        <v>4</v>
      </c>
    </row>
    <row r="13" spans="1:43" ht="18" customHeight="1">
      <c r="A13" s="81">
        <v>7</v>
      </c>
      <c r="B13" s="95" t="s">
        <v>66</v>
      </c>
      <c r="C13" s="240">
        <v>415</v>
      </c>
      <c r="D13" s="240">
        <v>0</v>
      </c>
      <c r="E13" s="240">
        <v>0</v>
      </c>
      <c r="F13" s="83">
        <f t="shared" si="0"/>
        <v>415</v>
      </c>
      <c r="G13" s="240">
        <v>413</v>
      </c>
      <c r="H13" s="240">
        <v>0</v>
      </c>
      <c r="I13" s="240">
        <v>0</v>
      </c>
      <c r="J13" s="178">
        <f t="shared" si="5"/>
        <v>413</v>
      </c>
      <c r="K13" s="240">
        <v>350</v>
      </c>
      <c r="L13" s="240">
        <v>0</v>
      </c>
      <c r="M13" s="240">
        <v>0</v>
      </c>
      <c r="N13" s="123">
        <f t="shared" si="1"/>
        <v>350</v>
      </c>
      <c r="O13" s="123">
        <v>350</v>
      </c>
      <c r="P13" s="123">
        <v>0</v>
      </c>
      <c r="Q13" s="123">
        <v>0</v>
      </c>
      <c r="R13" s="83">
        <f t="shared" si="11"/>
        <v>350</v>
      </c>
      <c r="S13" s="118">
        <f t="shared" si="6"/>
        <v>0</v>
      </c>
      <c r="T13" s="118">
        <f t="shared" si="7"/>
        <v>0</v>
      </c>
      <c r="U13" s="118">
        <f t="shared" si="8"/>
        <v>0</v>
      </c>
      <c r="V13" s="118">
        <f t="shared" si="9"/>
        <v>0</v>
      </c>
      <c r="W13" s="118">
        <f t="shared" si="2"/>
        <v>65</v>
      </c>
      <c r="X13" s="118">
        <f t="shared" si="3"/>
        <v>0</v>
      </c>
      <c r="Y13" s="118">
        <f t="shared" si="4"/>
        <v>0</v>
      </c>
      <c r="Z13" s="118">
        <f t="shared" si="10"/>
        <v>65</v>
      </c>
      <c r="AE13" s="84"/>
      <c r="AF13" s="84"/>
      <c r="AG13" s="84"/>
      <c r="AH13" s="84"/>
      <c r="AI13" s="84"/>
      <c r="AJ13" s="84"/>
      <c r="AQ13" s="70" t="s">
        <v>4</v>
      </c>
    </row>
    <row r="14" spans="1:43" ht="18" customHeight="1">
      <c r="A14" s="91">
        <v>8</v>
      </c>
      <c r="B14" s="124" t="s">
        <v>67</v>
      </c>
      <c r="C14" s="318">
        <v>182</v>
      </c>
      <c r="D14" s="318">
        <v>0</v>
      </c>
      <c r="E14" s="318">
        <v>0</v>
      </c>
      <c r="F14" s="87">
        <f t="shared" si="0"/>
        <v>182</v>
      </c>
      <c r="G14" s="318">
        <v>48</v>
      </c>
      <c r="H14" s="318">
        <v>0</v>
      </c>
      <c r="I14" s="318">
        <v>0</v>
      </c>
      <c r="J14" s="179">
        <f t="shared" si="5"/>
        <v>48</v>
      </c>
      <c r="K14" s="318">
        <v>0</v>
      </c>
      <c r="L14" s="318">
        <v>0</v>
      </c>
      <c r="M14" s="318">
        <v>0</v>
      </c>
      <c r="N14" s="123">
        <f t="shared" si="1"/>
        <v>0</v>
      </c>
      <c r="O14" s="364">
        <v>0</v>
      </c>
      <c r="P14" s="364">
        <v>0</v>
      </c>
      <c r="Q14" s="364">
        <v>0</v>
      </c>
      <c r="R14" s="87">
        <f t="shared" si="11"/>
        <v>0</v>
      </c>
      <c r="S14" s="369">
        <f t="shared" si="6"/>
        <v>0</v>
      </c>
      <c r="T14" s="369">
        <f t="shared" si="7"/>
        <v>0</v>
      </c>
      <c r="U14" s="369">
        <f t="shared" si="8"/>
        <v>0</v>
      </c>
      <c r="V14" s="369">
        <f t="shared" si="9"/>
        <v>0</v>
      </c>
      <c r="W14" s="369">
        <f t="shared" si="2"/>
        <v>182</v>
      </c>
      <c r="X14" s="369">
        <f t="shared" si="3"/>
        <v>0</v>
      </c>
      <c r="Y14" s="369">
        <f t="shared" si="4"/>
        <v>0</v>
      </c>
      <c r="Z14" s="369">
        <f>W14+X14+Y14</f>
        <v>182</v>
      </c>
      <c r="AE14" s="84"/>
      <c r="AF14" s="84"/>
      <c r="AG14" s="84"/>
      <c r="AH14" s="84"/>
      <c r="AI14" s="84"/>
      <c r="AJ14" s="84"/>
      <c r="AQ14" s="70" t="s">
        <v>4</v>
      </c>
    </row>
    <row r="15" spans="1:36" ht="18" customHeight="1">
      <c r="A15" s="88">
        <v>9</v>
      </c>
      <c r="B15" s="96" t="s">
        <v>33</v>
      </c>
      <c r="C15" s="317">
        <v>1482</v>
      </c>
      <c r="D15" s="317">
        <v>0</v>
      </c>
      <c r="E15" s="317">
        <v>0</v>
      </c>
      <c r="F15" s="90">
        <f t="shared" si="0"/>
        <v>1482</v>
      </c>
      <c r="G15" s="317">
        <v>1472</v>
      </c>
      <c r="H15" s="317">
        <v>0</v>
      </c>
      <c r="I15" s="317">
        <v>0</v>
      </c>
      <c r="J15" s="180">
        <f t="shared" si="5"/>
        <v>1472</v>
      </c>
      <c r="K15" s="317">
        <v>1472</v>
      </c>
      <c r="L15" s="317">
        <v>0</v>
      </c>
      <c r="M15" s="317">
        <v>0</v>
      </c>
      <c r="N15" s="123">
        <f t="shared" si="1"/>
        <v>1472</v>
      </c>
      <c r="O15" s="339">
        <v>1472</v>
      </c>
      <c r="P15" s="339">
        <v>0</v>
      </c>
      <c r="Q15" s="339">
        <v>0</v>
      </c>
      <c r="R15" s="90">
        <f t="shared" si="11"/>
        <v>1472</v>
      </c>
      <c r="S15" s="370">
        <f>K15-O15</f>
        <v>0</v>
      </c>
      <c r="T15" s="370">
        <f t="shared" si="7"/>
        <v>0</v>
      </c>
      <c r="U15" s="370">
        <f t="shared" si="8"/>
        <v>0</v>
      </c>
      <c r="V15" s="370">
        <f t="shared" si="9"/>
        <v>0</v>
      </c>
      <c r="W15" s="370">
        <f t="shared" si="2"/>
        <v>10</v>
      </c>
      <c r="X15" s="370">
        <f t="shared" si="3"/>
        <v>0</v>
      </c>
      <c r="Y15" s="370">
        <f t="shared" si="4"/>
        <v>0</v>
      </c>
      <c r="Z15" s="370">
        <f aca="true" t="shared" si="12" ref="Z15:Z32">W15+X15+Y15</f>
        <v>10</v>
      </c>
      <c r="AE15" s="84"/>
      <c r="AF15" s="84"/>
      <c r="AG15" s="84"/>
      <c r="AH15" s="84"/>
      <c r="AI15" s="84"/>
      <c r="AJ15" s="84"/>
    </row>
    <row r="16" spans="1:36" ht="18" customHeight="1">
      <c r="A16" s="81">
        <v>10</v>
      </c>
      <c r="B16" s="82" t="s">
        <v>6</v>
      </c>
      <c r="C16" s="240">
        <v>47</v>
      </c>
      <c r="D16" s="240">
        <v>0</v>
      </c>
      <c r="E16" s="240">
        <v>0</v>
      </c>
      <c r="F16" s="83">
        <f t="shared" si="0"/>
        <v>47</v>
      </c>
      <c r="G16" s="240">
        <v>32</v>
      </c>
      <c r="H16" s="240">
        <v>0</v>
      </c>
      <c r="I16" s="240">
        <v>0</v>
      </c>
      <c r="J16" s="178">
        <f t="shared" si="5"/>
        <v>32</v>
      </c>
      <c r="K16" s="240">
        <v>0</v>
      </c>
      <c r="L16" s="240">
        <v>0</v>
      </c>
      <c r="M16" s="240">
        <v>0</v>
      </c>
      <c r="N16" s="123">
        <f t="shared" si="1"/>
        <v>0</v>
      </c>
      <c r="O16" s="123">
        <v>0</v>
      </c>
      <c r="P16" s="123">
        <v>0</v>
      </c>
      <c r="Q16" s="123">
        <v>0</v>
      </c>
      <c r="R16" s="123">
        <f t="shared" si="11"/>
        <v>0</v>
      </c>
      <c r="S16" s="118">
        <f t="shared" si="6"/>
        <v>0</v>
      </c>
      <c r="T16" s="118">
        <f t="shared" si="7"/>
        <v>0</v>
      </c>
      <c r="U16" s="118">
        <f t="shared" si="8"/>
        <v>0</v>
      </c>
      <c r="V16" s="118">
        <f t="shared" si="9"/>
        <v>0</v>
      </c>
      <c r="W16" s="118">
        <f t="shared" si="2"/>
        <v>47</v>
      </c>
      <c r="X16" s="118">
        <f t="shared" si="3"/>
        <v>0</v>
      </c>
      <c r="Y16" s="118">
        <f t="shared" si="4"/>
        <v>0</v>
      </c>
      <c r="Z16" s="118">
        <f t="shared" si="12"/>
        <v>47</v>
      </c>
      <c r="AE16" s="84"/>
      <c r="AF16" s="84"/>
      <c r="AG16" s="84"/>
      <c r="AH16" s="84"/>
      <c r="AI16" s="84"/>
      <c r="AJ16" s="84"/>
    </row>
    <row r="17" spans="1:36" ht="18" customHeight="1">
      <c r="A17" s="91">
        <v>11</v>
      </c>
      <c r="B17" s="86" t="s">
        <v>34</v>
      </c>
      <c r="C17" s="318">
        <v>8495</v>
      </c>
      <c r="D17" s="318">
        <v>776</v>
      </c>
      <c r="E17" s="318">
        <v>0</v>
      </c>
      <c r="F17" s="87">
        <f t="shared" si="0"/>
        <v>9271</v>
      </c>
      <c r="G17" s="318">
        <v>5348</v>
      </c>
      <c r="H17" s="318">
        <v>0</v>
      </c>
      <c r="I17" s="318">
        <v>0</v>
      </c>
      <c r="J17" s="179">
        <f t="shared" si="5"/>
        <v>5348</v>
      </c>
      <c r="K17" s="318">
        <v>163</v>
      </c>
      <c r="L17" s="318">
        <v>0</v>
      </c>
      <c r="M17" s="318">
        <v>0</v>
      </c>
      <c r="N17" s="123">
        <f t="shared" si="1"/>
        <v>163</v>
      </c>
      <c r="O17" s="364">
        <v>163</v>
      </c>
      <c r="P17" s="364">
        <v>0</v>
      </c>
      <c r="Q17" s="364">
        <v>0</v>
      </c>
      <c r="R17" s="87">
        <f t="shared" si="11"/>
        <v>163</v>
      </c>
      <c r="S17" s="369">
        <f t="shared" si="6"/>
        <v>0</v>
      </c>
      <c r="T17" s="369">
        <f t="shared" si="7"/>
        <v>0</v>
      </c>
      <c r="U17" s="369">
        <f t="shared" si="8"/>
        <v>0</v>
      </c>
      <c r="V17" s="369">
        <f t="shared" si="9"/>
        <v>0</v>
      </c>
      <c r="W17" s="369">
        <f t="shared" si="2"/>
        <v>8332</v>
      </c>
      <c r="X17" s="369">
        <f t="shared" si="3"/>
        <v>776</v>
      </c>
      <c r="Y17" s="369">
        <f t="shared" si="4"/>
        <v>0</v>
      </c>
      <c r="Z17" s="369">
        <f t="shared" si="12"/>
        <v>9108</v>
      </c>
      <c r="AE17" s="84"/>
      <c r="AF17" s="84"/>
      <c r="AG17" s="84"/>
      <c r="AH17" s="84"/>
      <c r="AI17" s="84"/>
      <c r="AJ17" s="84"/>
    </row>
    <row r="18" spans="1:36" ht="18" customHeight="1">
      <c r="A18" s="88">
        <v>12</v>
      </c>
      <c r="B18" s="89" t="s">
        <v>35</v>
      </c>
      <c r="C18" s="317">
        <v>10892</v>
      </c>
      <c r="D18" s="317">
        <v>0</v>
      </c>
      <c r="E18" s="317">
        <v>0</v>
      </c>
      <c r="F18" s="90">
        <f t="shared" si="0"/>
        <v>10892</v>
      </c>
      <c r="G18" s="317">
        <v>12319</v>
      </c>
      <c r="H18" s="317">
        <v>0</v>
      </c>
      <c r="I18" s="317">
        <v>0</v>
      </c>
      <c r="J18" s="180">
        <f t="shared" si="5"/>
        <v>12319</v>
      </c>
      <c r="K18" s="317">
        <v>8041</v>
      </c>
      <c r="L18" s="317">
        <v>0</v>
      </c>
      <c r="M18" s="317">
        <v>0</v>
      </c>
      <c r="N18" s="123">
        <f t="shared" si="1"/>
        <v>8041</v>
      </c>
      <c r="O18" s="363">
        <v>6900</v>
      </c>
      <c r="P18" s="385">
        <v>0</v>
      </c>
      <c r="Q18" s="363">
        <v>0</v>
      </c>
      <c r="R18" s="90">
        <f t="shared" si="11"/>
        <v>6900</v>
      </c>
      <c r="S18" s="370">
        <f t="shared" si="6"/>
        <v>1141</v>
      </c>
      <c r="T18" s="370">
        <f t="shared" si="7"/>
        <v>0</v>
      </c>
      <c r="U18" s="370">
        <f t="shared" si="8"/>
        <v>0</v>
      </c>
      <c r="V18" s="370">
        <f t="shared" si="9"/>
        <v>1141</v>
      </c>
      <c r="W18" s="370">
        <f t="shared" si="2"/>
        <v>3992</v>
      </c>
      <c r="X18" s="370">
        <f t="shared" si="3"/>
        <v>0</v>
      </c>
      <c r="Y18" s="370">
        <f t="shared" si="4"/>
        <v>0</v>
      </c>
      <c r="Z18" s="370">
        <f t="shared" si="12"/>
        <v>3992</v>
      </c>
      <c r="AE18" s="84"/>
      <c r="AF18" s="84"/>
      <c r="AG18" s="84"/>
      <c r="AH18" s="84"/>
      <c r="AI18" s="84"/>
      <c r="AJ18" s="84"/>
    </row>
    <row r="19" spans="1:36" ht="18" customHeight="1">
      <c r="A19" s="81">
        <v>13</v>
      </c>
      <c r="B19" s="82" t="s">
        <v>68</v>
      </c>
      <c r="C19" s="240">
        <v>91</v>
      </c>
      <c r="D19" s="240">
        <v>0</v>
      </c>
      <c r="E19" s="240">
        <v>0</v>
      </c>
      <c r="F19" s="83">
        <f t="shared" si="0"/>
        <v>91</v>
      </c>
      <c r="G19" s="240">
        <v>17</v>
      </c>
      <c r="H19" s="240">
        <v>0</v>
      </c>
      <c r="I19" s="240">
        <v>0</v>
      </c>
      <c r="J19" s="178">
        <f t="shared" si="5"/>
        <v>17</v>
      </c>
      <c r="K19" s="240">
        <v>47</v>
      </c>
      <c r="L19" s="240">
        <v>0</v>
      </c>
      <c r="M19" s="240">
        <v>0</v>
      </c>
      <c r="N19" s="123">
        <f t="shared" si="1"/>
        <v>47</v>
      </c>
      <c r="O19" s="123">
        <v>17</v>
      </c>
      <c r="P19" s="123">
        <v>0</v>
      </c>
      <c r="Q19" s="123">
        <v>0</v>
      </c>
      <c r="R19" s="83">
        <f t="shared" si="11"/>
        <v>17</v>
      </c>
      <c r="S19" s="118">
        <f t="shared" si="6"/>
        <v>30</v>
      </c>
      <c r="T19" s="118">
        <f t="shared" si="7"/>
        <v>0</v>
      </c>
      <c r="U19" s="118">
        <f t="shared" si="8"/>
        <v>0</v>
      </c>
      <c r="V19" s="118">
        <f t="shared" si="9"/>
        <v>30</v>
      </c>
      <c r="W19" s="118">
        <f t="shared" si="2"/>
        <v>74</v>
      </c>
      <c r="X19" s="118">
        <f t="shared" si="3"/>
        <v>0</v>
      </c>
      <c r="Y19" s="118">
        <f t="shared" si="4"/>
        <v>0</v>
      </c>
      <c r="Z19" s="118">
        <f t="shared" si="12"/>
        <v>74</v>
      </c>
      <c r="AE19" s="84"/>
      <c r="AF19" s="84"/>
      <c r="AG19" s="84"/>
      <c r="AH19" s="84"/>
      <c r="AI19" s="84"/>
      <c r="AJ19" s="84"/>
    </row>
    <row r="20" spans="1:36" ht="18" customHeight="1">
      <c r="A20" s="85">
        <v>14</v>
      </c>
      <c r="B20" s="86" t="s">
        <v>36</v>
      </c>
      <c r="C20" s="342">
        <v>11641</v>
      </c>
      <c r="D20" s="342">
        <v>336</v>
      </c>
      <c r="E20" s="343">
        <v>0</v>
      </c>
      <c r="F20" s="87">
        <f t="shared" si="0"/>
        <v>11977</v>
      </c>
      <c r="G20" s="318">
        <v>12081</v>
      </c>
      <c r="H20" s="318">
        <v>3</v>
      </c>
      <c r="I20" s="318">
        <v>0</v>
      </c>
      <c r="J20" s="179">
        <f t="shared" si="5"/>
        <v>12084</v>
      </c>
      <c r="K20" s="342">
        <v>1079</v>
      </c>
      <c r="L20" s="342">
        <v>29</v>
      </c>
      <c r="M20" s="343">
        <v>0</v>
      </c>
      <c r="N20" s="123">
        <f t="shared" si="1"/>
        <v>1108</v>
      </c>
      <c r="O20" s="364">
        <v>1077</v>
      </c>
      <c r="P20" s="364">
        <v>29</v>
      </c>
      <c r="Q20" s="364">
        <v>0</v>
      </c>
      <c r="R20" s="87">
        <f t="shared" si="11"/>
        <v>1106</v>
      </c>
      <c r="S20" s="369">
        <f t="shared" si="6"/>
        <v>2</v>
      </c>
      <c r="T20" s="369">
        <f t="shared" si="7"/>
        <v>0</v>
      </c>
      <c r="U20" s="369">
        <f t="shared" si="8"/>
        <v>0</v>
      </c>
      <c r="V20" s="369">
        <f t="shared" si="9"/>
        <v>2</v>
      </c>
      <c r="W20" s="369">
        <f t="shared" si="2"/>
        <v>10564</v>
      </c>
      <c r="X20" s="369">
        <f t="shared" si="3"/>
        <v>307</v>
      </c>
      <c r="Y20" s="369">
        <f t="shared" si="4"/>
        <v>0</v>
      </c>
      <c r="Z20" s="369">
        <f t="shared" si="12"/>
        <v>10871</v>
      </c>
      <c r="AE20" s="84"/>
      <c r="AF20" s="84"/>
      <c r="AG20" s="84"/>
      <c r="AH20" s="84"/>
      <c r="AI20" s="84"/>
      <c r="AJ20" s="84"/>
    </row>
    <row r="21" spans="1:36" ht="18" customHeight="1">
      <c r="A21" s="88">
        <v>15</v>
      </c>
      <c r="B21" s="89" t="s">
        <v>13</v>
      </c>
      <c r="C21" s="317">
        <v>238</v>
      </c>
      <c r="D21" s="317">
        <v>0</v>
      </c>
      <c r="E21" s="317">
        <v>0</v>
      </c>
      <c r="F21" s="90">
        <f t="shared" si="0"/>
        <v>238</v>
      </c>
      <c r="G21" s="317">
        <v>433</v>
      </c>
      <c r="H21" s="317">
        <v>0</v>
      </c>
      <c r="I21" s="317">
        <v>0</v>
      </c>
      <c r="J21" s="180">
        <f t="shared" si="5"/>
        <v>433</v>
      </c>
      <c r="K21" s="317">
        <v>0</v>
      </c>
      <c r="L21" s="317">
        <v>0</v>
      </c>
      <c r="M21" s="317">
        <v>0</v>
      </c>
      <c r="N21" s="123">
        <f t="shared" si="1"/>
        <v>0</v>
      </c>
      <c r="O21" s="363">
        <v>0</v>
      </c>
      <c r="P21" s="363">
        <v>0</v>
      </c>
      <c r="Q21" s="363">
        <v>0</v>
      </c>
      <c r="R21" s="90">
        <f t="shared" si="11"/>
        <v>0</v>
      </c>
      <c r="S21" s="370">
        <f t="shared" si="6"/>
        <v>0</v>
      </c>
      <c r="T21" s="370">
        <f t="shared" si="7"/>
        <v>0</v>
      </c>
      <c r="U21" s="370">
        <f t="shared" si="8"/>
        <v>0</v>
      </c>
      <c r="V21" s="370">
        <f t="shared" si="9"/>
        <v>0</v>
      </c>
      <c r="W21" s="370">
        <f t="shared" si="2"/>
        <v>238</v>
      </c>
      <c r="X21" s="370">
        <f t="shared" si="3"/>
        <v>0</v>
      </c>
      <c r="Y21" s="370">
        <f t="shared" si="4"/>
        <v>0</v>
      </c>
      <c r="Z21" s="370">
        <f t="shared" si="12"/>
        <v>238</v>
      </c>
      <c r="AE21" s="84"/>
      <c r="AF21" s="84"/>
      <c r="AG21" s="84"/>
      <c r="AH21" s="84"/>
      <c r="AI21" s="84"/>
      <c r="AJ21" s="84"/>
    </row>
    <row r="22" spans="1:36" ht="18" customHeight="1">
      <c r="A22" s="91">
        <v>16</v>
      </c>
      <c r="B22" s="124" t="s">
        <v>12</v>
      </c>
      <c r="C22" s="240">
        <v>0</v>
      </c>
      <c r="D22" s="240">
        <v>0</v>
      </c>
      <c r="E22" s="240">
        <v>0</v>
      </c>
      <c r="F22" s="83">
        <f t="shared" si="0"/>
        <v>0</v>
      </c>
      <c r="G22" s="240">
        <v>0</v>
      </c>
      <c r="H22" s="240">
        <v>0</v>
      </c>
      <c r="I22" s="240">
        <v>0</v>
      </c>
      <c r="J22" s="178">
        <f t="shared" si="5"/>
        <v>0</v>
      </c>
      <c r="K22" s="240">
        <v>0</v>
      </c>
      <c r="L22" s="240">
        <v>0</v>
      </c>
      <c r="M22" s="240">
        <v>0</v>
      </c>
      <c r="N22" s="123">
        <f t="shared" si="1"/>
        <v>0</v>
      </c>
      <c r="O22" s="364">
        <v>0</v>
      </c>
      <c r="P22" s="364">
        <v>0</v>
      </c>
      <c r="Q22" s="364">
        <v>0</v>
      </c>
      <c r="R22" s="123">
        <f t="shared" si="11"/>
        <v>0</v>
      </c>
      <c r="S22" s="118">
        <f t="shared" si="6"/>
        <v>0</v>
      </c>
      <c r="T22" s="118">
        <f t="shared" si="7"/>
        <v>0</v>
      </c>
      <c r="U22" s="118">
        <f t="shared" si="8"/>
        <v>0</v>
      </c>
      <c r="V22" s="118">
        <f t="shared" si="9"/>
        <v>0</v>
      </c>
      <c r="W22" s="118">
        <f t="shared" si="2"/>
        <v>0</v>
      </c>
      <c r="X22" s="118">
        <f t="shared" si="3"/>
        <v>0</v>
      </c>
      <c r="Y22" s="118">
        <f t="shared" si="4"/>
        <v>0</v>
      </c>
      <c r="Z22" s="118">
        <f t="shared" si="12"/>
        <v>0</v>
      </c>
      <c r="AE22" s="84"/>
      <c r="AF22" s="84"/>
      <c r="AG22" s="84"/>
      <c r="AH22" s="84"/>
      <c r="AI22" s="84"/>
      <c r="AJ22" s="84"/>
    </row>
    <row r="23" spans="1:36" ht="18" customHeight="1">
      <c r="A23" s="85">
        <v>17</v>
      </c>
      <c r="B23" s="86" t="s">
        <v>69</v>
      </c>
      <c r="C23" s="318">
        <v>0</v>
      </c>
      <c r="D23" s="318">
        <v>0</v>
      </c>
      <c r="E23" s="318">
        <v>0</v>
      </c>
      <c r="F23" s="87">
        <f t="shared" si="0"/>
        <v>0</v>
      </c>
      <c r="G23" s="318">
        <v>11</v>
      </c>
      <c r="H23" s="318">
        <v>0</v>
      </c>
      <c r="I23" s="318">
        <v>0</v>
      </c>
      <c r="J23" s="179">
        <f t="shared" si="5"/>
        <v>11</v>
      </c>
      <c r="K23" s="318">
        <v>0</v>
      </c>
      <c r="L23" s="318">
        <v>0</v>
      </c>
      <c r="M23" s="318">
        <v>0</v>
      </c>
      <c r="N23" s="123">
        <f t="shared" si="1"/>
        <v>0</v>
      </c>
      <c r="O23" s="388">
        <v>0</v>
      </c>
      <c r="P23" s="364">
        <v>0</v>
      </c>
      <c r="Q23" s="364">
        <v>0</v>
      </c>
      <c r="R23" s="364">
        <f t="shared" si="11"/>
        <v>0</v>
      </c>
      <c r="S23" s="369">
        <f t="shared" si="6"/>
        <v>0</v>
      </c>
      <c r="T23" s="369">
        <f t="shared" si="7"/>
        <v>0</v>
      </c>
      <c r="U23" s="369">
        <f t="shared" si="8"/>
        <v>0</v>
      </c>
      <c r="V23" s="369">
        <f t="shared" si="9"/>
        <v>0</v>
      </c>
      <c r="W23" s="369">
        <f t="shared" si="2"/>
        <v>0</v>
      </c>
      <c r="X23" s="369">
        <f t="shared" si="3"/>
        <v>0</v>
      </c>
      <c r="Y23" s="369">
        <f t="shared" si="4"/>
        <v>0</v>
      </c>
      <c r="Z23" s="369">
        <f t="shared" si="12"/>
        <v>0</v>
      </c>
      <c r="AE23" s="84"/>
      <c r="AF23" s="84"/>
      <c r="AG23" s="84"/>
      <c r="AH23" s="84"/>
      <c r="AI23" s="84"/>
      <c r="AJ23" s="84"/>
    </row>
    <row r="24" spans="1:36" ht="18" customHeight="1">
      <c r="A24" s="88">
        <v>18</v>
      </c>
      <c r="B24" s="89" t="s">
        <v>37</v>
      </c>
      <c r="C24" s="317">
        <v>31</v>
      </c>
      <c r="D24" s="317">
        <v>0</v>
      </c>
      <c r="E24" s="317">
        <v>0</v>
      </c>
      <c r="F24" s="90">
        <f t="shared" si="0"/>
        <v>31</v>
      </c>
      <c r="G24" s="317">
        <v>30</v>
      </c>
      <c r="H24" s="317">
        <v>0</v>
      </c>
      <c r="I24" s="317">
        <v>0</v>
      </c>
      <c r="J24" s="180">
        <f t="shared" si="5"/>
        <v>30</v>
      </c>
      <c r="K24" s="317">
        <v>0</v>
      </c>
      <c r="L24" s="317">
        <v>0</v>
      </c>
      <c r="M24" s="317">
        <v>0</v>
      </c>
      <c r="N24" s="123">
        <f t="shared" si="1"/>
        <v>0</v>
      </c>
      <c r="O24" s="363">
        <v>0</v>
      </c>
      <c r="P24" s="363">
        <v>0</v>
      </c>
      <c r="Q24" s="363">
        <v>0</v>
      </c>
      <c r="R24" s="90">
        <f t="shared" si="11"/>
        <v>0</v>
      </c>
      <c r="S24" s="370">
        <f t="shared" si="6"/>
        <v>0</v>
      </c>
      <c r="T24" s="370">
        <f t="shared" si="6"/>
        <v>0</v>
      </c>
      <c r="U24" s="370">
        <f t="shared" si="8"/>
        <v>0</v>
      </c>
      <c r="V24" s="370">
        <f t="shared" si="9"/>
        <v>0</v>
      </c>
      <c r="W24" s="370">
        <f t="shared" si="2"/>
        <v>31</v>
      </c>
      <c r="X24" s="370">
        <f t="shared" si="3"/>
        <v>0</v>
      </c>
      <c r="Y24" s="370">
        <f t="shared" si="4"/>
        <v>0</v>
      </c>
      <c r="Z24" s="370">
        <f t="shared" si="12"/>
        <v>31</v>
      </c>
      <c r="AE24" s="84"/>
      <c r="AF24" s="84"/>
      <c r="AG24" s="84"/>
      <c r="AH24" s="84"/>
      <c r="AI24" s="84"/>
      <c r="AJ24" s="84"/>
    </row>
    <row r="25" spans="1:36" ht="18" customHeight="1">
      <c r="A25" s="93">
        <v>19</v>
      </c>
      <c r="B25" s="82" t="s">
        <v>70</v>
      </c>
      <c r="C25" s="240">
        <v>72</v>
      </c>
      <c r="D25" s="240">
        <v>0</v>
      </c>
      <c r="E25" s="240">
        <v>0</v>
      </c>
      <c r="F25" s="83">
        <f t="shared" si="0"/>
        <v>72</v>
      </c>
      <c r="G25" s="240">
        <v>72</v>
      </c>
      <c r="H25" s="240">
        <v>0</v>
      </c>
      <c r="I25" s="240">
        <v>0</v>
      </c>
      <c r="J25" s="178">
        <f t="shared" si="5"/>
        <v>72</v>
      </c>
      <c r="K25" s="240">
        <v>72</v>
      </c>
      <c r="L25" s="240">
        <v>0</v>
      </c>
      <c r="M25" s="240">
        <v>0</v>
      </c>
      <c r="N25" s="123">
        <f t="shared" si="1"/>
        <v>72</v>
      </c>
      <c r="O25" s="123">
        <v>72</v>
      </c>
      <c r="P25" s="360">
        <v>0</v>
      </c>
      <c r="Q25" s="123">
        <v>0</v>
      </c>
      <c r="R25" s="123">
        <f t="shared" si="11"/>
        <v>72</v>
      </c>
      <c r="S25" s="118">
        <f t="shared" si="6"/>
        <v>0</v>
      </c>
      <c r="T25" s="118">
        <f t="shared" si="6"/>
        <v>0</v>
      </c>
      <c r="U25" s="118">
        <f t="shared" si="8"/>
        <v>0</v>
      </c>
      <c r="V25" s="118">
        <f t="shared" si="9"/>
        <v>0</v>
      </c>
      <c r="W25" s="118">
        <f t="shared" si="2"/>
        <v>0</v>
      </c>
      <c r="X25" s="118">
        <f t="shared" si="3"/>
        <v>0</v>
      </c>
      <c r="Y25" s="118">
        <f t="shared" si="4"/>
        <v>0</v>
      </c>
      <c r="Z25" s="118">
        <f t="shared" si="12"/>
        <v>0</v>
      </c>
      <c r="AE25" s="84"/>
      <c r="AF25" s="84"/>
      <c r="AG25" s="84"/>
      <c r="AH25" s="84"/>
      <c r="AI25" s="84"/>
      <c r="AJ25" s="84"/>
    </row>
    <row r="26" spans="1:36" ht="18" customHeight="1">
      <c r="A26" s="85">
        <v>20</v>
      </c>
      <c r="B26" s="86" t="s">
        <v>71</v>
      </c>
      <c r="C26" s="318">
        <v>2905</v>
      </c>
      <c r="D26" s="318">
        <v>0</v>
      </c>
      <c r="E26" s="318">
        <v>0</v>
      </c>
      <c r="F26" s="87">
        <f t="shared" si="0"/>
        <v>2905</v>
      </c>
      <c r="G26" s="318">
        <v>2956</v>
      </c>
      <c r="H26" s="318">
        <v>0</v>
      </c>
      <c r="I26" s="318">
        <v>0</v>
      </c>
      <c r="J26" s="179">
        <f t="shared" si="5"/>
        <v>2956</v>
      </c>
      <c r="K26" s="394">
        <v>871</v>
      </c>
      <c r="L26" s="318">
        <v>0</v>
      </c>
      <c r="M26" s="318">
        <v>0</v>
      </c>
      <c r="N26" s="123">
        <f t="shared" si="1"/>
        <v>871</v>
      </c>
      <c r="O26" s="359">
        <v>792</v>
      </c>
      <c r="P26" s="360">
        <v>0</v>
      </c>
      <c r="Q26" s="361">
        <v>0</v>
      </c>
      <c r="R26" s="87">
        <f t="shared" si="11"/>
        <v>792</v>
      </c>
      <c r="S26" s="369">
        <f t="shared" si="6"/>
        <v>79</v>
      </c>
      <c r="T26" s="369">
        <f t="shared" si="6"/>
        <v>0</v>
      </c>
      <c r="U26" s="369">
        <f t="shared" si="8"/>
        <v>0</v>
      </c>
      <c r="V26" s="369">
        <f t="shared" si="9"/>
        <v>79</v>
      </c>
      <c r="W26" s="369">
        <f t="shared" si="2"/>
        <v>2113</v>
      </c>
      <c r="X26" s="369">
        <f t="shared" si="3"/>
        <v>0</v>
      </c>
      <c r="Y26" s="369">
        <f t="shared" si="4"/>
        <v>0</v>
      </c>
      <c r="Z26" s="369">
        <f t="shared" si="12"/>
        <v>2113</v>
      </c>
      <c r="AE26" s="84"/>
      <c r="AF26" s="84"/>
      <c r="AG26" s="84"/>
      <c r="AH26" s="84"/>
      <c r="AI26" s="84"/>
      <c r="AJ26" s="84"/>
    </row>
    <row r="27" spans="1:36" ht="18" customHeight="1">
      <c r="A27" s="94">
        <v>21</v>
      </c>
      <c r="B27" s="89" t="s">
        <v>72</v>
      </c>
      <c r="C27" s="317">
        <v>0</v>
      </c>
      <c r="D27" s="317">
        <v>0</v>
      </c>
      <c r="E27" s="317">
        <v>0</v>
      </c>
      <c r="F27" s="90">
        <f t="shared" si="0"/>
        <v>0</v>
      </c>
      <c r="G27" s="317">
        <v>211</v>
      </c>
      <c r="H27" s="317">
        <v>0</v>
      </c>
      <c r="I27" s="317">
        <v>0</v>
      </c>
      <c r="J27" s="180">
        <f t="shared" si="5"/>
        <v>211</v>
      </c>
      <c r="K27" s="317">
        <v>216</v>
      </c>
      <c r="L27" s="317">
        <v>0</v>
      </c>
      <c r="M27" s="317">
        <v>0</v>
      </c>
      <c r="N27" s="123">
        <f t="shared" si="1"/>
        <v>216</v>
      </c>
      <c r="O27" s="363">
        <v>216</v>
      </c>
      <c r="P27" s="363">
        <v>0</v>
      </c>
      <c r="Q27" s="363">
        <v>0</v>
      </c>
      <c r="R27" s="90">
        <f t="shared" si="11"/>
        <v>216</v>
      </c>
      <c r="S27" s="370">
        <f t="shared" si="6"/>
        <v>0</v>
      </c>
      <c r="T27" s="370">
        <f t="shared" si="6"/>
        <v>0</v>
      </c>
      <c r="U27" s="370">
        <f t="shared" si="8"/>
        <v>0</v>
      </c>
      <c r="V27" s="370">
        <f t="shared" si="9"/>
        <v>0</v>
      </c>
      <c r="W27" s="370">
        <f t="shared" si="2"/>
        <v>-216</v>
      </c>
      <c r="X27" s="370">
        <f t="shared" si="3"/>
        <v>0</v>
      </c>
      <c r="Y27" s="370">
        <f t="shared" si="4"/>
        <v>0</v>
      </c>
      <c r="Z27" s="370">
        <f t="shared" si="12"/>
        <v>-216</v>
      </c>
      <c r="AE27" s="84"/>
      <c r="AF27" s="84"/>
      <c r="AG27" s="84"/>
      <c r="AH27" s="84"/>
      <c r="AI27" s="84"/>
      <c r="AJ27" s="84"/>
    </row>
    <row r="28" spans="1:36" ht="18" customHeight="1">
      <c r="A28" s="93">
        <v>22</v>
      </c>
      <c r="B28" s="95" t="s">
        <v>7</v>
      </c>
      <c r="C28" s="318">
        <v>0</v>
      </c>
      <c r="D28" s="240">
        <v>0</v>
      </c>
      <c r="E28" s="240">
        <v>0</v>
      </c>
      <c r="F28" s="83">
        <f t="shared" si="0"/>
        <v>0</v>
      </c>
      <c r="G28" s="240">
        <v>0</v>
      </c>
      <c r="H28" s="240">
        <v>0</v>
      </c>
      <c r="I28" s="240">
        <v>0</v>
      </c>
      <c r="J28" s="178">
        <f t="shared" si="5"/>
        <v>0</v>
      </c>
      <c r="K28" s="318">
        <v>0</v>
      </c>
      <c r="L28" s="240">
        <v>0</v>
      </c>
      <c r="M28" s="240">
        <v>0</v>
      </c>
      <c r="N28" s="123">
        <f t="shared" si="1"/>
        <v>0</v>
      </c>
      <c r="O28" s="123">
        <v>0</v>
      </c>
      <c r="P28" s="123">
        <v>0</v>
      </c>
      <c r="Q28" s="123">
        <v>0</v>
      </c>
      <c r="R28" s="123">
        <f t="shared" si="11"/>
        <v>0</v>
      </c>
      <c r="S28" s="118">
        <f aca="true" t="shared" si="13" ref="S28:T32">K28-O28</f>
        <v>0</v>
      </c>
      <c r="T28" s="118">
        <f t="shared" si="13"/>
        <v>0</v>
      </c>
      <c r="U28" s="118">
        <f t="shared" si="8"/>
        <v>0</v>
      </c>
      <c r="V28" s="118">
        <f t="shared" si="9"/>
        <v>0</v>
      </c>
      <c r="W28" s="118">
        <f t="shared" si="2"/>
        <v>0</v>
      </c>
      <c r="X28" s="118">
        <f t="shared" si="3"/>
        <v>0</v>
      </c>
      <c r="Y28" s="118">
        <f t="shared" si="4"/>
        <v>0</v>
      </c>
      <c r="Z28" s="118">
        <f t="shared" si="12"/>
        <v>0</v>
      </c>
      <c r="AE28" s="84"/>
      <c r="AF28" s="84"/>
      <c r="AG28" s="84"/>
      <c r="AH28" s="84"/>
      <c r="AI28" s="84"/>
      <c r="AJ28" s="84"/>
    </row>
    <row r="29" spans="1:36" ht="18" customHeight="1">
      <c r="A29" s="91">
        <v>23</v>
      </c>
      <c r="B29" s="86" t="s">
        <v>8</v>
      </c>
      <c r="C29" s="318">
        <v>0</v>
      </c>
      <c r="D29" s="318">
        <v>0</v>
      </c>
      <c r="E29" s="318">
        <v>0</v>
      </c>
      <c r="F29" s="87">
        <f t="shared" si="0"/>
        <v>0</v>
      </c>
      <c r="G29" s="318">
        <v>0</v>
      </c>
      <c r="H29" s="318">
        <v>0</v>
      </c>
      <c r="I29" s="318">
        <v>0</v>
      </c>
      <c r="J29" s="179">
        <f t="shared" si="5"/>
        <v>0</v>
      </c>
      <c r="K29" s="318">
        <v>0</v>
      </c>
      <c r="L29" s="318">
        <v>0</v>
      </c>
      <c r="M29" s="318">
        <v>0</v>
      </c>
      <c r="N29" s="123">
        <f t="shared" si="1"/>
        <v>0</v>
      </c>
      <c r="O29" s="364">
        <v>0</v>
      </c>
      <c r="P29" s="364">
        <v>0</v>
      </c>
      <c r="Q29" s="364">
        <v>0</v>
      </c>
      <c r="R29" s="87">
        <f t="shared" si="11"/>
        <v>0</v>
      </c>
      <c r="S29" s="369">
        <f t="shared" si="13"/>
        <v>0</v>
      </c>
      <c r="T29" s="369">
        <f t="shared" si="13"/>
        <v>0</v>
      </c>
      <c r="U29" s="369">
        <f t="shared" si="8"/>
        <v>0</v>
      </c>
      <c r="V29" s="369">
        <f t="shared" si="9"/>
        <v>0</v>
      </c>
      <c r="W29" s="369">
        <f t="shared" si="2"/>
        <v>0</v>
      </c>
      <c r="X29" s="369">
        <f t="shared" si="3"/>
        <v>0</v>
      </c>
      <c r="Y29" s="369">
        <f t="shared" si="4"/>
        <v>0</v>
      </c>
      <c r="Z29" s="369">
        <f t="shared" si="12"/>
        <v>0</v>
      </c>
      <c r="AE29" s="84"/>
      <c r="AF29" s="84"/>
      <c r="AG29" s="84"/>
      <c r="AH29" s="84"/>
      <c r="AI29" s="84"/>
      <c r="AJ29" s="84"/>
    </row>
    <row r="30" spans="1:36" ht="18" customHeight="1">
      <c r="A30" s="94">
        <v>24</v>
      </c>
      <c r="B30" s="89" t="s">
        <v>40</v>
      </c>
      <c r="C30" s="317">
        <v>954</v>
      </c>
      <c r="D30" s="317">
        <v>0</v>
      </c>
      <c r="E30" s="317">
        <v>0</v>
      </c>
      <c r="F30" s="90">
        <f t="shared" si="0"/>
        <v>954</v>
      </c>
      <c r="G30" s="317">
        <v>933</v>
      </c>
      <c r="H30" s="317">
        <v>0</v>
      </c>
      <c r="I30" s="317">
        <v>0</v>
      </c>
      <c r="J30" s="180">
        <f t="shared" si="5"/>
        <v>933</v>
      </c>
      <c r="K30" s="317">
        <v>940</v>
      </c>
      <c r="L30" s="317">
        <v>0</v>
      </c>
      <c r="M30" s="317">
        <v>0</v>
      </c>
      <c r="N30" s="123">
        <f t="shared" si="1"/>
        <v>940</v>
      </c>
      <c r="O30" s="363">
        <v>954</v>
      </c>
      <c r="P30" s="363">
        <v>0</v>
      </c>
      <c r="Q30" s="363">
        <v>0</v>
      </c>
      <c r="R30" s="90">
        <f t="shared" si="11"/>
        <v>954</v>
      </c>
      <c r="S30" s="370">
        <f t="shared" si="13"/>
        <v>-14</v>
      </c>
      <c r="T30" s="370">
        <f t="shared" si="13"/>
        <v>0</v>
      </c>
      <c r="U30" s="370">
        <f t="shared" si="8"/>
        <v>0</v>
      </c>
      <c r="V30" s="370">
        <f t="shared" si="9"/>
        <v>-14</v>
      </c>
      <c r="W30" s="370">
        <f t="shared" si="2"/>
        <v>0</v>
      </c>
      <c r="X30" s="370">
        <f t="shared" si="3"/>
        <v>0</v>
      </c>
      <c r="Y30" s="370">
        <f t="shared" si="4"/>
        <v>0</v>
      </c>
      <c r="Z30" s="370">
        <f t="shared" si="12"/>
        <v>0</v>
      </c>
      <c r="AE30" s="84"/>
      <c r="AF30" s="84"/>
      <c r="AG30" s="84"/>
      <c r="AH30" s="84"/>
      <c r="AI30" s="84"/>
      <c r="AJ30" s="84"/>
    </row>
    <row r="31" spans="1:36" ht="18" customHeight="1">
      <c r="A31" s="93">
        <v>25</v>
      </c>
      <c r="B31" s="95" t="s">
        <v>9</v>
      </c>
      <c r="C31" s="240">
        <v>572</v>
      </c>
      <c r="D31" s="240">
        <v>0</v>
      </c>
      <c r="E31" s="240">
        <v>0</v>
      </c>
      <c r="F31" s="83">
        <f t="shared" si="0"/>
        <v>572</v>
      </c>
      <c r="G31" s="240">
        <v>0</v>
      </c>
      <c r="H31" s="240">
        <v>0</v>
      </c>
      <c r="I31" s="240">
        <v>0</v>
      </c>
      <c r="J31" s="178">
        <f t="shared" si="5"/>
        <v>0</v>
      </c>
      <c r="K31" s="240">
        <v>0</v>
      </c>
      <c r="L31" s="240">
        <v>0</v>
      </c>
      <c r="M31" s="240">
        <v>0</v>
      </c>
      <c r="N31" s="123">
        <f t="shared" si="1"/>
        <v>0</v>
      </c>
      <c r="O31" s="123">
        <v>0</v>
      </c>
      <c r="P31" s="123">
        <v>0</v>
      </c>
      <c r="Q31" s="123">
        <v>0</v>
      </c>
      <c r="R31" s="123">
        <f t="shared" si="11"/>
        <v>0</v>
      </c>
      <c r="S31" s="118">
        <f t="shared" si="13"/>
        <v>0</v>
      </c>
      <c r="T31" s="118">
        <f t="shared" si="13"/>
        <v>0</v>
      </c>
      <c r="U31" s="118">
        <f t="shared" si="8"/>
        <v>0</v>
      </c>
      <c r="V31" s="118">
        <f t="shared" si="9"/>
        <v>0</v>
      </c>
      <c r="W31" s="118">
        <f t="shared" si="2"/>
        <v>572</v>
      </c>
      <c r="X31" s="118">
        <f t="shared" si="3"/>
        <v>0</v>
      </c>
      <c r="Y31" s="118">
        <f t="shared" si="4"/>
        <v>0</v>
      </c>
      <c r="Z31" s="118">
        <f t="shared" si="12"/>
        <v>572</v>
      </c>
      <c r="AE31" s="84"/>
      <c r="AF31" s="84"/>
      <c r="AG31" s="84"/>
      <c r="AH31" s="84"/>
      <c r="AI31" s="84"/>
      <c r="AJ31" s="84"/>
    </row>
    <row r="32" spans="1:36" ht="18" customHeight="1">
      <c r="A32" s="94">
        <v>26</v>
      </c>
      <c r="B32" s="96" t="s">
        <v>10</v>
      </c>
      <c r="C32" s="317">
        <v>0</v>
      </c>
      <c r="D32" s="317">
        <v>0</v>
      </c>
      <c r="E32" s="317">
        <v>0</v>
      </c>
      <c r="F32" s="87">
        <f t="shared" si="0"/>
        <v>0</v>
      </c>
      <c r="G32" s="317">
        <v>0</v>
      </c>
      <c r="H32" s="317">
        <v>0</v>
      </c>
      <c r="I32" s="317">
        <v>0</v>
      </c>
      <c r="J32" s="179">
        <f t="shared" si="5"/>
        <v>0</v>
      </c>
      <c r="K32" s="317">
        <v>0</v>
      </c>
      <c r="L32" s="317">
        <v>0</v>
      </c>
      <c r="M32" s="317">
        <v>0</v>
      </c>
      <c r="N32" s="123">
        <f t="shared" si="1"/>
        <v>0</v>
      </c>
      <c r="O32" s="364">
        <v>0</v>
      </c>
      <c r="P32" s="364">
        <v>0</v>
      </c>
      <c r="Q32" s="364">
        <v>0</v>
      </c>
      <c r="R32" s="90">
        <f t="shared" si="11"/>
        <v>0</v>
      </c>
      <c r="S32" s="370">
        <f t="shared" si="13"/>
        <v>0</v>
      </c>
      <c r="T32" s="370">
        <f t="shared" si="13"/>
        <v>0</v>
      </c>
      <c r="U32" s="370">
        <f t="shared" si="8"/>
        <v>0</v>
      </c>
      <c r="V32" s="370">
        <f t="shared" si="9"/>
        <v>0</v>
      </c>
      <c r="W32" s="370">
        <f t="shared" si="2"/>
        <v>0</v>
      </c>
      <c r="X32" s="370">
        <f t="shared" si="3"/>
        <v>0</v>
      </c>
      <c r="Y32" s="370">
        <f t="shared" si="4"/>
        <v>0</v>
      </c>
      <c r="Z32" s="370">
        <f t="shared" si="12"/>
        <v>0</v>
      </c>
      <c r="AE32" s="84"/>
      <c r="AF32" s="84"/>
      <c r="AG32" s="84"/>
      <c r="AH32" s="84"/>
      <c r="AI32" s="84"/>
      <c r="AJ32" s="84"/>
    </row>
    <row r="33" spans="1:36" s="73" customFormat="1" ht="18" customHeight="1">
      <c r="A33" s="97"/>
      <c r="B33" s="97" t="s">
        <v>11</v>
      </c>
      <c r="C33" s="98">
        <f aca="true" t="shared" si="14" ref="C33:Z33">SUM(C7:C32)</f>
        <v>48759</v>
      </c>
      <c r="D33" s="98">
        <f t="shared" si="14"/>
        <v>1112</v>
      </c>
      <c r="E33" s="98">
        <f t="shared" si="14"/>
        <v>0</v>
      </c>
      <c r="F33" s="98">
        <f t="shared" si="14"/>
        <v>49871</v>
      </c>
      <c r="G33" s="98">
        <f>SUM(G7:G32)</f>
        <v>48173</v>
      </c>
      <c r="H33" s="167">
        <f>SUM(H7:H32)</f>
        <v>3</v>
      </c>
      <c r="I33" s="98">
        <f>SUM(I7:I32)</f>
        <v>0</v>
      </c>
      <c r="J33" s="98">
        <f>SUM(J7:J32)</f>
        <v>48176</v>
      </c>
      <c r="K33" s="98">
        <f t="shared" si="14"/>
        <v>22709</v>
      </c>
      <c r="L33" s="98">
        <f t="shared" si="14"/>
        <v>29</v>
      </c>
      <c r="M33" s="98">
        <f t="shared" si="14"/>
        <v>0</v>
      </c>
      <c r="N33" s="98">
        <f t="shared" si="14"/>
        <v>22738</v>
      </c>
      <c r="O33" s="98">
        <f t="shared" si="14"/>
        <v>21151</v>
      </c>
      <c r="P33" s="98">
        <f t="shared" si="14"/>
        <v>29</v>
      </c>
      <c r="Q33" s="98">
        <f t="shared" si="14"/>
        <v>0</v>
      </c>
      <c r="R33" s="98">
        <f t="shared" si="14"/>
        <v>21180</v>
      </c>
      <c r="S33" s="98">
        <f t="shared" si="14"/>
        <v>1558</v>
      </c>
      <c r="T33" s="98">
        <f t="shared" si="14"/>
        <v>0</v>
      </c>
      <c r="U33" s="98">
        <f t="shared" si="14"/>
        <v>0</v>
      </c>
      <c r="V33" s="98">
        <f t="shared" si="14"/>
        <v>1558</v>
      </c>
      <c r="W33" s="98">
        <f t="shared" si="14"/>
        <v>27608</v>
      </c>
      <c r="X33" s="98">
        <f t="shared" si="14"/>
        <v>1083</v>
      </c>
      <c r="Y33" s="98">
        <f t="shared" si="14"/>
        <v>0</v>
      </c>
      <c r="Z33" s="98">
        <f t="shared" si="14"/>
        <v>28691</v>
      </c>
      <c r="AE33" s="99"/>
      <c r="AF33" s="99"/>
      <c r="AG33" s="99"/>
      <c r="AH33" s="122"/>
      <c r="AI33" s="122"/>
      <c r="AJ33" s="122"/>
    </row>
    <row r="34" spans="1:34" s="73" customFormat="1" ht="18" customHeight="1">
      <c r="A34" s="100"/>
      <c r="B34" s="74" t="s">
        <v>29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83"/>
      <c r="O34" s="101"/>
      <c r="P34" s="101"/>
      <c r="Q34" s="101"/>
      <c r="R34" s="101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1:18" ht="9" customHeight="1">
      <c r="A35" s="102"/>
      <c r="B35" s="102"/>
      <c r="C35" s="74"/>
      <c r="D35" s="74"/>
      <c r="E35" s="103"/>
      <c r="F35" s="103"/>
      <c r="G35" s="103"/>
      <c r="H35" s="103"/>
      <c r="I35" s="103"/>
      <c r="J35" s="103"/>
      <c r="K35" s="104"/>
      <c r="L35" s="105"/>
      <c r="M35" s="76"/>
      <c r="N35" s="76"/>
      <c r="O35" s="76"/>
      <c r="P35" s="76"/>
      <c r="Q35" s="76"/>
      <c r="R35" s="76"/>
    </row>
    <row r="36" spans="1:25" ht="18" customHeight="1">
      <c r="A36" s="103"/>
      <c r="B36" s="103" t="s">
        <v>30</v>
      </c>
      <c r="C36" s="106"/>
      <c r="D36" s="106"/>
      <c r="E36" s="107"/>
      <c r="F36" s="107"/>
      <c r="G36" s="107"/>
      <c r="H36" s="107"/>
      <c r="I36" s="107"/>
      <c r="J36" s="107"/>
      <c r="K36" s="104"/>
      <c r="L36" s="105"/>
      <c r="M36" s="76"/>
      <c r="N36" s="76"/>
      <c r="O36" s="76"/>
      <c r="P36" s="76"/>
      <c r="R36" s="76"/>
      <c r="S36" s="108"/>
      <c r="T36" s="108"/>
      <c r="U36" s="108"/>
      <c r="V36" s="108"/>
      <c r="W36" s="108"/>
      <c r="X36" s="108"/>
      <c r="Y36" s="108"/>
    </row>
    <row r="37" spans="1:25" ht="18" customHeight="1">
      <c r="A37" s="103"/>
      <c r="B37" s="103" t="s">
        <v>15</v>
      </c>
      <c r="C37" s="109"/>
      <c r="D37" s="109"/>
      <c r="E37" s="109"/>
      <c r="F37" s="109"/>
      <c r="G37" s="109"/>
      <c r="H37" s="109"/>
      <c r="I37" s="109"/>
      <c r="J37" s="109"/>
      <c r="M37" s="76"/>
      <c r="N37" s="76"/>
      <c r="O37" s="76"/>
      <c r="P37" s="76"/>
      <c r="R37" s="76"/>
      <c r="S37" s="108"/>
      <c r="T37" s="108"/>
      <c r="U37" s="108"/>
      <c r="V37" s="108"/>
      <c r="W37" s="108"/>
      <c r="X37" s="108"/>
      <c r="Y37" s="108"/>
    </row>
    <row r="38" spans="1:25" ht="18" customHeight="1">
      <c r="A38" s="110"/>
      <c r="B38" s="110" t="s">
        <v>58</v>
      </c>
      <c r="C38" s="107"/>
      <c r="D38" s="107"/>
      <c r="E38" s="109"/>
      <c r="F38" s="109"/>
      <c r="G38" s="109"/>
      <c r="H38" s="109"/>
      <c r="I38" s="109"/>
      <c r="J38" s="109"/>
      <c r="M38" s="76"/>
      <c r="N38" s="76"/>
      <c r="O38" s="76"/>
      <c r="P38" s="76"/>
      <c r="Q38" s="76"/>
      <c r="R38" s="76"/>
      <c r="S38" s="108"/>
      <c r="T38" s="108"/>
      <c r="U38" s="108"/>
      <c r="V38" s="108"/>
      <c r="W38" s="108"/>
      <c r="X38" s="108"/>
      <c r="Y38" s="108"/>
    </row>
    <row r="39" spans="1:25" ht="18" customHeight="1">
      <c r="A39" s="110"/>
      <c r="B39" s="110" t="s">
        <v>59</v>
      </c>
      <c r="C39" s="109"/>
      <c r="D39" s="109"/>
      <c r="E39" s="109"/>
      <c r="F39" s="109"/>
      <c r="G39" s="109"/>
      <c r="H39" s="109"/>
      <c r="I39" s="109"/>
      <c r="J39" s="109"/>
      <c r="M39" s="76"/>
      <c r="N39" s="76"/>
      <c r="O39" s="76"/>
      <c r="P39" s="76"/>
      <c r="Q39" s="76"/>
      <c r="R39" s="76"/>
      <c r="S39" s="108"/>
      <c r="T39" s="108"/>
      <c r="U39" s="108"/>
      <c r="V39" s="108"/>
      <c r="W39" s="108"/>
      <c r="X39" s="108"/>
      <c r="Y39" s="108"/>
    </row>
    <row r="40" spans="1:25" ht="18" customHeight="1">
      <c r="A40" s="103"/>
      <c r="B40" s="103" t="s">
        <v>80</v>
      </c>
      <c r="C40" s="109"/>
      <c r="D40" s="109"/>
      <c r="E40" s="109"/>
      <c r="F40" s="109"/>
      <c r="G40" s="109"/>
      <c r="H40" s="109"/>
      <c r="I40" s="109"/>
      <c r="J40" s="109"/>
      <c r="M40" s="76"/>
      <c r="N40" s="76"/>
      <c r="O40" s="76"/>
      <c r="P40" s="76"/>
      <c r="Q40" s="76"/>
      <c r="R40" s="76"/>
      <c r="S40" s="108"/>
      <c r="T40" s="108"/>
      <c r="U40" s="108"/>
      <c r="V40" s="108"/>
      <c r="W40" s="108"/>
      <c r="X40" s="108"/>
      <c r="Y40" s="108"/>
    </row>
    <row r="41" spans="1:25" ht="19.5" customHeight="1">
      <c r="A41" s="76"/>
      <c r="B41" s="76"/>
      <c r="M41" s="71"/>
      <c r="N41" s="71"/>
      <c r="O41" s="78"/>
      <c r="P41" s="78"/>
      <c r="Q41" s="76"/>
      <c r="R41" s="76"/>
      <c r="S41" s="108"/>
      <c r="T41" s="108"/>
      <c r="U41" s="108"/>
      <c r="V41" s="108"/>
      <c r="W41" s="108"/>
      <c r="X41" s="108"/>
      <c r="Y41" s="108"/>
    </row>
    <row r="42" spans="1:25" ht="15">
      <c r="A42" s="76"/>
      <c r="B42" s="76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08"/>
      <c r="T42" s="108"/>
      <c r="U42" s="108"/>
      <c r="V42" s="108"/>
      <c r="W42" s="108"/>
      <c r="X42" s="108"/>
      <c r="Y42" s="108"/>
    </row>
    <row r="43" spans="1:25" ht="15.75">
      <c r="A43" s="76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6"/>
      <c r="P43" s="76"/>
      <c r="Q43" s="76"/>
      <c r="R43" s="76"/>
      <c r="S43" s="108"/>
      <c r="T43" s="108"/>
      <c r="U43" s="108"/>
      <c r="V43" s="108"/>
      <c r="W43" s="108"/>
      <c r="X43" s="108"/>
      <c r="Y43" s="108"/>
    </row>
    <row r="44" spans="1:25" ht="15.75">
      <c r="A44" s="76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6"/>
      <c r="P44" s="76"/>
      <c r="Q44" s="76"/>
      <c r="R44" s="76"/>
      <c r="S44" s="108"/>
      <c r="T44" s="108"/>
      <c r="U44" s="108"/>
      <c r="V44" s="108"/>
      <c r="W44" s="108"/>
      <c r="X44" s="108"/>
      <c r="Y44" s="108"/>
    </row>
    <row r="45" spans="1:25" ht="15.75">
      <c r="A45" s="436"/>
      <c r="B45" s="436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5"/>
      <c r="P45" s="75"/>
      <c r="Q45" s="76"/>
      <c r="R45" s="76"/>
      <c r="S45" s="108"/>
      <c r="T45" s="108"/>
      <c r="U45" s="108"/>
      <c r="V45" s="108"/>
      <c r="W45" s="108"/>
      <c r="X45" s="108"/>
      <c r="Y45" s="108"/>
    </row>
    <row r="46" spans="15:25" ht="15" customHeight="1">
      <c r="O46" s="112"/>
      <c r="P46" s="112"/>
      <c r="S46" s="108"/>
      <c r="T46" s="108"/>
      <c r="U46" s="108"/>
      <c r="V46" s="108"/>
      <c r="W46" s="108"/>
      <c r="X46" s="108"/>
      <c r="Y46" s="108"/>
    </row>
    <row r="47" spans="3:25" ht="15" customHeight="1">
      <c r="C47" s="92"/>
      <c r="D47" s="92"/>
      <c r="O47" s="112"/>
      <c r="P47" s="112"/>
      <c r="S47" s="108"/>
      <c r="T47" s="108"/>
      <c r="U47" s="108"/>
      <c r="V47" s="108"/>
      <c r="W47" s="108"/>
      <c r="X47" s="108"/>
      <c r="Y47" s="108"/>
    </row>
    <row r="48" spans="3:25" ht="15" customHeight="1">
      <c r="C48" s="92"/>
      <c r="D48" s="92"/>
      <c r="O48" s="112"/>
      <c r="P48" s="112"/>
      <c r="S48" s="108"/>
      <c r="T48" s="108"/>
      <c r="U48" s="108"/>
      <c r="V48" s="108"/>
      <c r="W48" s="108"/>
      <c r="X48" s="108"/>
      <c r="Y48" s="108"/>
    </row>
    <row r="49" spans="3:25" ht="15" customHeight="1">
      <c r="C49" s="92"/>
      <c r="D49" s="92"/>
      <c r="S49" s="108"/>
      <c r="T49" s="108"/>
      <c r="U49" s="108"/>
      <c r="V49" s="108"/>
      <c r="W49" s="108"/>
      <c r="X49" s="108"/>
      <c r="Y49" s="108"/>
    </row>
    <row r="50" spans="3:25" ht="15" customHeight="1">
      <c r="C50" s="92"/>
      <c r="D50" s="92"/>
      <c r="S50" s="108"/>
      <c r="T50" s="108"/>
      <c r="U50" s="108"/>
      <c r="V50" s="108"/>
      <c r="W50" s="108"/>
      <c r="X50" s="108"/>
      <c r="Y50" s="108"/>
    </row>
    <row r="51" spans="2:25" ht="18">
      <c r="B51" s="113"/>
      <c r="C51" s="114"/>
      <c r="D51" s="92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08"/>
      <c r="T51" s="108"/>
      <c r="U51" s="108"/>
      <c r="V51" s="108"/>
      <c r="W51" s="108"/>
      <c r="X51" s="108"/>
      <c r="Y51" s="108"/>
    </row>
    <row r="52" spans="2:25" ht="18">
      <c r="B52" s="113"/>
      <c r="C52" s="114"/>
      <c r="D52" s="9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08"/>
      <c r="T52" s="108"/>
      <c r="U52" s="108"/>
      <c r="V52" s="108"/>
      <c r="W52" s="108"/>
      <c r="X52" s="108"/>
      <c r="Y52" s="108"/>
    </row>
    <row r="53" spans="2:25" ht="18">
      <c r="B53" s="113"/>
      <c r="C53" s="114"/>
      <c r="D53" s="92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5"/>
      <c r="P53" s="115"/>
      <c r="Q53" s="115"/>
      <c r="R53" s="115"/>
      <c r="S53" s="108"/>
      <c r="T53" s="108"/>
      <c r="U53" s="108"/>
      <c r="V53" s="108"/>
      <c r="W53" s="108"/>
      <c r="X53" s="108"/>
      <c r="Y53" s="108"/>
    </row>
    <row r="54" spans="2:25" ht="18">
      <c r="B54" s="113"/>
      <c r="C54" s="114"/>
      <c r="D54" s="9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5"/>
      <c r="P54" s="115"/>
      <c r="Q54" s="115"/>
      <c r="R54" s="115"/>
      <c r="S54" s="108"/>
      <c r="T54" s="108"/>
      <c r="U54" s="108"/>
      <c r="V54" s="108"/>
      <c r="W54" s="108"/>
      <c r="X54" s="108"/>
      <c r="Y54" s="108"/>
    </row>
    <row r="55" spans="2:25" ht="18">
      <c r="B55" s="113"/>
      <c r="C55" s="114"/>
      <c r="D55" s="92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6"/>
      <c r="P55" s="116"/>
      <c r="Q55" s="116"/>
      <c r="R55" s="116"/>
      <c r="S55" s="108"/>
      <c r="T55" s="108"/>
      <c r="U55" s="108"/>
      <c r="V55" s="108"/>
      <c r="W55" s="108"/>
      <c r="X55" s="108"/>
      <c r="Y55" s="108"/>
    </row>
    <row r="56" spans="2:25" ht="18">
      <c r="B56" s="113"/>
      <c r="C56" s="114"/>
      <c r="D56" s="92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5"/>
      <c r="P56" s="115"/>
      <c r="Q56" s="115"/>
      <c r="R56" s="115"/>
      <c r="S56" s="108"/>
      <c r="T56" s="108"/>
      <c r="U56" s="108"/>
      <c r="V56" s="108"/>
      <c r="W56" s="108"/>
      <c r="X56" s="108"/>
      <c r="Y56" s="108"/>
    </row>
    <row r="57" spans="2:25" ht="18">
      <c r="B57" s="113"/>
      <c r="C57" s="114"/>
      <c r="D57" s="92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6"/>
      <c r="P57" s="116"/>
      <c r="Q57" s="116"/>
      <c r="R57" s="116"/>
      <c r="S57" s="108"/>
      <c r="T57" s="108"/>
      <c r="U57" s="108"/>
      <c r="V57" s="108"/>
      <c r="W57" s="108"/>
      <c r="X57" s="108"/>
      <c r="Y57" s="108"/>
    </row>
    <row r="58" spans="3:25" ht="15">
      <c r="C58" s="92"/>
      <c r="D58" s="92"/>
      <c r="S58" s="108"/>
      <c r="T58" s="108"/>
      <c r="U58" s="108"/>
      <c r="V58" s="108"/>
      <c r="W58" s="108"/>
      <c r="X58" s="108"/>
      <c r="Y58" s="108"/>
    </row>
    <row r="59" spans="3:25" ht="15">
      <c r="C59" s="92"/>
      <c r="D59" s="92"/>
      <c r="S59" s="108"/>
      <c r="T59" s="108"/>
      <c r="U59" s="108"/>
      <c r="V59" s="108"/>
      <c r="W59" s="108"/>
      <c r="X59" s="108"/>
      <c r="Y59" s="108"/>
    </row>
    <row r="60" spans="3:25" ht="15">
      <c r="C60" s="92"/>
      <c r="D60" s="92"/>
      <c r="S60" s="108"/>
      <c r="T60" s="108"/>
      <c r="U60" s="108"/>
      <c r="V60" s="108"/>
      <c r="W60" s="108"/>
      <c r="X60" s="108"/>
      <c r="Y60" s="108"/>
    </row>
    <row r="61" spans="3:25" ht="15">
      <c r="C61" s="92"/>
      <c r="D61" s="92"/>
      <c r="S61" s="108"/>
      <c r="T61" s="108"/>
      <c r="U61" s="108"/>
      <c r="V61" s="108"/>
      <c r="W61" s="108"/>
      <c r="X61" s="108"/>
      <c r="Y61" s="108"/>
    </row>
    <row r="62" spans="3:25" ht="15">
      <c r="C62" s="92"/>
      <c r="D62" s="92"/>
      <c r="S62" s="108"/>
      <c r="T62" s="108"/>
      <c r="U62" s="108"/>
      <c r="V62" s="108"/>
      <c r="W62" s="108"/>
      <c r="X62" s="108"/>
      <c r="Y62" s="108"/>
    </row>
    <row r="63" spans="3:25" ht="15">
      <c r="C63" s="92"/>
      <c r="D63" s="92"/>
      <c r="S63" s="108"/>
      <c r="T63" s="108"/>
      <c r="U63" s="108"/>
      <c r="V63" s="108"/>
      <c r="W63" s="108"/>
      <c r="X63" s="108"/>
      <c r="Y63" s="108"/>
    </row>
    <row r="64" spans="3:25" ht="15">
      <c r="C64" s="92"/>
      <c r="D64" s="92"/>
      <c r="S64" s="108"/>
      <c r="T64" s="108"/>
      <c r="U64" s="108"/>
      <c r="V64" s="108"/>
      <c r="W64" s="108"/>
      <c r="X64" s="108"/>
      <c r="Y64" s="108"/>
    </row>
    <row r="65" spans="3:25" ht="15">
      <c r="C65" s="92"/>
      <c r="D65" s="92"/>
      <c r="S65" s="108"/>
      <c r="T65" s="108"/>
      <c r="U65" s="108"/>
      <c r="V65" s="108"/>
      <c r="W65" s="108"/>
      <c r="X65" s="108"/>
      <c r="Y65" s="108"/>
    </row>
    <row r="66" spans="3:25" ht="15">
      <c r="C66" s="92"/>
      <c r="D66" s="92"/>
      <c r="S66" s="117"/>
      <c r="T66" s="117"/>
      <c r="U66" s="117"/>
      <c r="V66" s="117"/>
      <c r="W66" s="117"/>
      <c r="X66" s="117"/>
      <c r="Y66" s="117"/>
    </row>
    <row r="67" spans="3:25" ht="15">
      <c r="C67" s="92"/>
      <c r="D67" s="92"/>
      <c r="S67" s="117"/>
      <c r="T67" s="117"/>
      <c r="U67" s="117"/>
      <c r="V67" s="117"/>
      <c r="W67" s="117"/>
      <c r="X67" s="117"/>
      <c r="Y67" s="117"/>
    </row>
    <row r="68" spans="3:25" ht="15">
      <c r="C68" s="92"/>
      <c r="D68" s="92"/>
      <c r="S68" s="117"/>
      <c r="T68" s="117"/>
      <c r="U68" s="117"/>
      <c r="V68" s="117"/>
      <c r="W68" s="117"/>
      <c r="X68" s="117"/>
      <c r="Y68" s="117"/>
    </row>
    <row r="69" spans="3:25" ht="15">
      <c r="C69" s="92"/>
      <c r="D69" s="92"/>
      <c r="S69" s="117"/>
      <c r="T69" s="117"/>
      <c r="U69" s="117"/>
      <c r="V69" s="117"/>
      <c r="W69" s="117"/>
      <c r="X69" s="117"/>
      <c r="Y69" s="117"/>
    </row>
    <row r="70" spans="3:4" ht="15">
      <c r="C70" s="92"/>
      <c r="D70" s="92"/>
    </row>
    <row r="71" spans="3:4" ht="15">
      <c r="C71" s="92"/>
      <c r="D71" s="92"/>
    </row>
    <row r="72" spans="3:4" ht="15">
      <c r="C72" s="92"/>
      <c r="D72" s="92"/>
    </row>
  </sheetData>
  <sheetProtection/>
  <mergeCells count="27">
    <mergeCell ref="A45:B45"/>
    <mergeCell ref="A4:A6"/>
    <mergeCell ref="B4:B6"/>
    <mergeCell ref="D5:D6"/>
    <mergeCell ref="C4:F4"/>
    <mergeCell ref="F5:F6"/>
    <mergeCell ref="C5:C6"/>
    <mergeCell ref="E5:E6"/>
    <mergeCell ref="AH4:AJ5"/>
    <mergeCell ref="Q5:Q6"/>
    <mergeCell ref="R5:R6"/>
    <mergeCell ref="P5:P6"/>
    <mergeCell ref="W5:Z5"/>
    <mergeCell ref="S4:Z4"/>
    <mergeCell ref="S5:V5"/>
    <mergeCell ref="O4:R4"/>
    <mergeCell ref="O5:O6"/>
    <mergeCell ref="G5:G6"/>
    <mergeCell ref="I5:I6"/>
    <mergeCell ref="N5:N6"/>
    <mergeCell ref="L5:L6"/>
    <mergeCell ref="K5:K6"/>
    <mergeCell ref="M5:M6"/>
    <mergeCell ref="H5:H6"/>
    <mergeCell ref="K4:N4"/>
    <mergeCell ref="J5:J6"/>
    <mergeCell ref="G4:J4"/>
  </mergeCells>
  <conditionalFormatting sqref="O7:O8">
    <cfRule type="expression" priority="76" dxfId="3" stopIfTrue="1">
      <formula>LARGE(($O$7:$O$32),MIN(5,COUNT($O$7:$O$32)))&lt;=O7</formula>
    </cfRule>
  </conditionalFormatting>
  <conditionalFormatting sqref="P7:P8">
    <cfRule type="expression" priority="77" dxfId="3" stopIfTrue="1">
      <formula>LARGE(($P$7:$P$32),MIN(5,COUNT($P$7:$P$32)))&lt;=P7</formula>
    </cfRule>
  </conditionalFormatting>
  <conditionalFormatting sqref="K7:K32 O13:O14 O29 O32 O22:O24 O16">
    <cfRule type="expression" priority="83" dxfId="1" stopIfTrue="1">
      <formula>LARGE(($K$7:$K$32),MIN(10,COUNT($K$7:$K$32)))&lt;=K7</formula>
    </cfRule>
    <cfRule type="expression" priority="84" dxfId="145" stopIfTrue="1">
      <formula>LARGE(($K$7:$K$32),MIN(10,COUNT($K$7:$K$32)))&lt;=K7</formula>
    </cfRule>
    <cfRule type="expression" priority="85" dxfId="3" stopIfTrue="1">
      <formula>LARGE(($K$7:$K$32),MIN(5,COUNT($K$7:$K$32)))&lt;=K7</formula>
    </cfRule>
  </conditionalFormatting>
  <conditionalFormatting sqref="L7:L32 P9 P13:P14 P22:P23 P29 P32">
    <cfRule type="expression" priority="86" dxfId="1" stopIfTrue="1">
      <formula>LARGE(($L$7:$L$32),MIN(10,COUNT($L$7:$L$32)))&lt;=L7</formula>
    </cfRule>
    <cfRule type="expression" priority="87" dxfId="3" stopIfTrue="1">
      <formula>LARGE(($L$7:$L$32),MIN(5,COUNT($L$7:$L$32)))&lt;=L7</formula>
    </cfRule>
  </conditionalFormatting>
  <conditionalFormatting sqref="C7:C32">
    <cfRule type="expression" priority="88" dxfId="3" stopIfTrue="1">
      <formula>LARGE(($C$7:$C$32),MIN(5,COUNT($C$7:$C$32)))&lt;=C7</formula>
    </cfRule>
  </conditionalFormatting>
  <conditionalFormatting sqref="D7:D32">
    <cfRule type="expression" priority="89" dxfId="3" stopIfTrue="1">
      <formula>LARGE(($D$7:$D$32),MIN(5,COUNT($D$7:$D$32)))&lt;=D7</formula>
    </cfRule>
  </conditionalFormatting>
  <conditionalFormatting sqref="G7:G32">
    <cfRule type="top10" priority="30" dxfId="0" stopIfTrue="1" rank="5"/>
  </conditionalFormatting>
  <conditionalFormatting sqref="G7:G32">
    <cfRule type="expression" priority="28" dxfId="3" stopIfTrue="1">
      <formula>LARGE(($C$7:$C$32),MIN(5,COUNT($C$7:$C$32)))&lt;=G7</formula>
    </cfRule>
  </conditionalFormatting>
  <conditionalFormatting sqref="H7:H32">
    <cfRule type="expression" priority="27" dxfId="3" stopIfTrue="1">
      <formula>LARGE(($D$7:$D$32),MIN(5,COUNT($D$7:$D$32)))&lt;=H7</formula>
    </cfRule>
  </conditionalFormatting>
  <conditionalFormatting sqref="C7:C32">
    <cfRule type="top10" priority="25" dxfId="0" stopIfTrue="1" rank="5"/>
  </conditionalFormatting>
  <conditionalFormatting sqref="C7:C32">
    <cfRule type="expression" priority="24" dxfId="3" stopIfTrue="1">
      <formula>LARGE(($C$7:$C$32),MIN(5,COUNT($C$7:$C$32)))&lt;=C7</formula>
    </cfRule>
  </conditionalFormatting>
  <conditionalFormatting sqref="D7:D32">
    <cfRule type="expression" priority="23" dxfId="3" stopIfTrue="1">
      <formula>LARGE(($D$7:$D$32),MIN(5,COUNT($D$7:$D$32)))&lt;=D7</formula>
    </cfRule>
  </conditionalFormatting>
  <conditionalFormatting sqref="K7:K8">
    <cfRule type="expression" priority="21" dxfId="3" stopIfTrue="1">
      <formula>LARGE(($O$7:$O$32),MIN(5,COUNT($O$7:$O$32)))&lt;=K7</formula>
    </cfRule>
  </conditionalFormatting>
  <conditionalFormatting sqref="L7:L8">
    <cfRule type="expression" priority="20" dxfId="3" stopIfTrue="1">
      <formula>LARGE(($P$7:$P$32),MIN(5,COUNT($P$7:$P$32)))&lt;=L7</formula>
    </cfRule>
  </conditionalFormatting>
  <conditionalFormatting sqref="K13:K14 K29 K32 K22:K24 K16">
    <cfRule type="expression" priority="17" dxfId="1" stopIfTrue="1">
      <formula>LARGE(($K$7:$K$32),MIN(10,COUNT($K$7:$K$32)))&lt;=K13</formula>
    </cfRule>
    <cfRule type="expression" priority="18" dxfId="145" stopIfTrue="1">
      <formula>LARGE(($K$7:$K$32),MIN(10,COUNT($K$7:$K$32)))&lt;=K13</formula>
    </cfRule>
    <cfRule type="expression" priority="19" dxfId="3" stopIfTrue="1">
      <formula>LARGE(($K$7:$K$32),MIN(5,COUNT($K$7:$K$32)))&lt;=K13</formula>
    </cfRule>
  </conditionalFormatting>
  <conditionalFormatting sqref="L9 L13:L14 L22:L23 L29 L32">
    <cfRule type="expression" priority="15" dxfId="1" stopIfTrue="1">
      <formula>LARGE(($L$7:$L$32),MIN(10,COUNT($L$7:$L$32)))&lt;=L9</formula>
    </cfRule>
    <cfRule type="expression" priority="16" dxfId="3" stopIfTrue="1">
      <formula>LARGE(($L$7:$L$32),MIN(5,COUNT($L$7:$L$32)))&lt;=L9</formula>
    </cfRule>
  </conditionalFormatting>
  <conditionalFormatting sqref="K7:K8">
    <cfRule type="expression" priority="14" dxfId="3" stopIfTrue="1">
      <formula>LARGE(($O$7:$O$32),MIN(5,COUNT($O$7:$O$32)))&lt;=K7</formula>
    </cfRule>
  </conditionalFormatting>
  <conditionalFormatting sqref="L7:L8">
    <cfRule type="expression" priority="13" dxfId="3" stopIfTrue="1">
      <formula>LARGE(($P$7:$P$32),MIN(5,COUNT($P$7:$P$32)))&lt;=L7</formula>
    </cfRule>
  </conditionalFormatting>
  <conditionalFormatting sqref="K13:K14 K29 K32 K22:K24 K16">
    <cfRule type="expression" priority="10" dxfId="1" stopIfTrue="1">
      <formula>LARGE(($K$7:$K$32),MIN(10,COUNT($K$7:$K$32)))&lt;=K13</formula>
    </cfRule>
    <cfRule type="expression" priority="11" dxfId="145" stopIfTrue="1">
      <formula>LARGE(($K$7:$K$32),MIN(10,COUNT($K$7:$K$32)))&lt;=K13</formula>
    </cfRule>
    <cfRule type="expression" priority="12" dxfId="3" stopIfTrue="1">
      <formula>LARGE(($K$7:$K$32),MIN(5,COUNT($K$7:$K$32)))&lt;=K13</formula>
    </cfRule>
  </conditionalFormatting>
  <conditionalFormatting sqref="L9 L13:L14 L22:L23 L29 L32">
    <cfRule type="expression" priority="8" dxfId="1" stopIfTrue="1">
      <formula>LARGE(($L$7:$L$32),MIN(10,COUNT($L$7:$L$32)))&lt;=L9</formula>
    </cfRule>
    <cfRule type="expression" priority="9" dxfId="3" stopIfTrue="1">
      <formula>LARGE(($L$7:$L$32),MIN(5,COUNT($L$7:$L$32)))&lt;=L9</formula>
    </cfRule>
  </conditionalFormatting>
  <conditionalFormatting sqref="K7:K32">
    <cfRule type="expression" priority="7" dxfId="3" stopIfTrue="1">
      <formula>LARGE(($C$7:$C$32),MIN(5,COUNT($C$7:$C$32)))&lt;=K7</formula>
    </cfRule>
  </conditionalFormatting>
  <conditionalFormatting sqref="L7:L32">
    <cfRule type="expression" priority="6" dxfId="3" stopIfTrue="1">
      <formula>LARGE(($D$7:$D$32),MIN(5,COUNT($D$7:$D$32)))&lt;=L7</formula>
    </cfRule>
  </conditionalFormatting>
  <conditionalFormatting sqref="K7:K32">
    <cfRule type="top10" priority="4" dxfId="0" stopIfTrue="1" rank="5"/>
  </conditionalFormatting>
  <conditionalFormatting sqref="K7:K32">
    <cfRule type="expression" priority="3" dxfId="3" stopIfTrue="1">
      <formula>LARGE(($C$7:$C$32),MIN(5,COUNT($C$7:$C$32)))&lt;=K7</formula>
    </cfRule>
  </conditionalFormatting>
  <conditionalFormatting sqref="L7:L32">
    <cfRule type="expression" priority="2" dxfId="3" stopIfTrue="1">
      <formula>LARGE(($D$7:$D$32),MIN(5,COUNT($D$7:$D$32)))&lt;=L7</formula>
    </cfRule>
  </conditionalFormatting>
  <conditionalFormatting sqref="C32 C28:C30 C22:C26 C7:C10 C12:C20">
    <cfRule type="top10" priority="29" dxfId="0" stopIfTrue="1" rank="5"/>
  </conditionalFormatting>
  <conditionalFormatting sqref="G32 G28:G30 G22:G26 G7:G10 G12:G20">
    <cfRule type="top10" priority="26" dxfId="0" stopIfTrue="1" rank="5"/>
  </conditionalFormatting>
  <conditionalFormatting sqref="C32 C7:C10 C12:C20 C22:C30">
    <cfRule type="top10" priority="22" dxfId="0" stopIfTrue="1" rank="5"/>
  </conditionalFormatting>
  <conditionalFormatting sqref="K32 K28:K30 K22:K26 K7:K10 K12:K20">
    <cfRule type="top10" priority="5" dxfId="0" stopIfTrue="1" rank="5"/>
  </conditionalFormatting>
  <conditionalFormatting sqref="K32 K7:K10 K12:K20 K22:K30">
    <cfRule type="top10" priority="1" dxfId="0" stopIfTrue="1" rank="5"/>
  </conditionalFormatting>
  <printOptions/>
  <pageMargins left="0.11811023622047245" right="0.2362204724409449" top="0.5118110236220472" bottom="0.5118110236220472" header="0.2362204724409449" footer="0.2362204724409449"/>
  <pageSetup horizontalDpi="600" verticalDpi="600" orientation="landscape" paperSize="9" scale="75" r:id="rId1"/>
  <rowBreaks count="1" manualBreakCount="1">
    <brk id="40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71"/>
  <sheetViews>
    <sheetView workbookViewId="0" topLeftCell="A1">
      <pane xSplit="2" ySplit="6" topLeftCell="Y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D37" sqref="AD37"/>
    </sheetView>
  </sheetViews>
  <sheetFormatPr defaultColWidth="7.8515625" defaultRowHeight="12.75"/>
  <cols>
    <col min="1" max="1" width="4.421875" style="4" customWidth="1"/>
    <col min="2" max="2" width="12.28125" style="4" customWidth="1"/>
    <col min="3" max="3" width="11.57421875" style="4" customWidth="1"/>
    <col min="4" max="4" width="10.00390625" style="4" customWidth="1"/>
    <col min="5" max="5" width="11.7109375" style="4" customWidth="1"/>
    <col min="6" max="6" width="12.8515625" style="4" customWidth="1"/>
    <col min="7" max="7" width="7.00390625" style="4" hidden="1" customWidth="1"/>
    <col min="8" max="8" width="10.421875" style="4" hidden="1" customWidth="1"/>
    <col min="9" max="9" width="12.00390625" style="4" hidden="1" customWidth="1"/>
    <col min="10" max="10" width="0.2890625" style="4" hidden="1" customWidth="1"/>
    <col min="11" max="11" width="11.7109375" style="4" customWidth="1"/>
    <col min="12" max="12" width="10.57421875" style="4" customWidth="1"/>
    <col min="13" max="13" width="11.7109375" style="4" customWidth="1"/>
    <col min="14" max="14" width="12.7109375" style="4" customWidth="1"/>
    <col min="15" max="15" width="12.140625" style="4" customWidth="1"/>
    <col min="16" max="16" width="10.7109375" style="4" customWidth="1"/>
    <col min="17" max="17" width="11.8515625" style="4" customWidth="1"/>
    <col min="18" max="18" width="12.7109375" style="4" customWidth="1"/>
    <col min="19" max="19" width="9.57421875" style="4" customWidth="1"/>
    <col min="20" max="20" width="7.28125" style="4" customWidth="1"/>
    <col min="21" max="21" width="10.00390625" style="4" customWidth="1"/>
    <col min="22" max="22" width="11.421875" style="4" hidden="1" customWidth="1"/>
    <col min="23" max="23" width="9.28125" style="4" customWidth="1"/>
    <col min="24" max="24" width="10.140625" style="4" customWidth="1"/>
    <col min="25" max="25" width="9.140625" style="4" customWidth="1"/>
    <col min="26" max="27" width="10.57421875" style="4" customWidth="1"/>
    <col min="28" max="28" width="11.8515625" style="4" customWidth="1"/>
    <col min="29" max="29" width="11.140625" style="4" customWidth="1"/>
    <col min="30" max="30" width="12.421875" style="4" customWidth="1"/>
    <col min="31" max="31" width="9.8515625" style="4" customWidth="1"/>
    <col min="32" max="32" width="11.140625" style="4" customWidth="1"/>
    <col min="33" max="33" width="10.28125" style="4" customWidth="1"/>
    <col min="34" max="34" width="11.140625" style="4" customWidth="1"/>
    <col min="35" max="36" width="9.8515625" style="4" customWidth="1"/>
    <col min="37" max="37" width="10.421875" style="4" customWidth="1"/>
    <col min="38" max="39" width="9.8515625" style="4" hidden="1" customWidth="1"/>
    <col min="40" max="43" width="9.8515625" style="4" customWidth="1"/>
    <col min="44" max="44" width="9.57421875" style="4" customWidth="1"/>
    <col min="45" max="45" width="10.140625" style="4" customWidth="1"/>
    <col min="46" max="46" width="10.28125" style="4" customWidth="1"/>
    <col min="47" max="47" width="10.421875" style="4" customWidth="1"/>
    <col min="48" max="48" width="12.140625" style="4" customWidth="1"/>
    <col min="49" max="49" width="9.00390625" style="4" customWidth="1"/>
    <col min="50" max="50" width="12.57421875" style="4" customWidth="1"/>
    <col min="51" max="51" width="12.8515625" style="4" customWidth="1"/>
    <col min="52" max="52" width="11.57421875" style="4" customWidth="1"/>
    <col min="53" max="53" width="10.28125" style="4" customWidth="1"/>
    <col min="54" max="54" width="11.421875" style="4" customWidth="1"/>
    <col min="55" max="55" width="5.57421875" style="4" customWidth="1"/>
    <col min="56" max="56" width="4.57421875" style="4" customWidth="1"/>
    <col min="57" max="57" width="7.8515625" style="4" customWidth="1"/>
    <col min="58" max="58" width="9.00390625" style="4" customWidth="1"/>
    <col min="59" max="59" width="7.8515625" style="4" customWidth="1"/>
    <col min="60" max="60" width="10.421875" style="4" customWidth="1"/>
    <col min="61" max="73" width="7.8515625" style="4" customWidth="1"/>
    <col min="74" max="74" width="13.7109375" style="4" customWidth="1"/>
    <col min="75" max="16384" width="7.8515625" style="4" customWidth="1"/>
  </cols>
  <sheetData>
    <row r="1" spans="1:49" ht="13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3"/>
      <c r="AW1" s="3"/>
    </row>
    <row r="2" spans="3:49" ht="16.5" customHeight="1">
      <c r="C2" s="41" t="s">
        <v>206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1" t="s">
        <v>165</v>
      </c>
      <c r="P2" s="375"/>
      <c r="Q2" s="39"/>
      <c r="R2" s="39"/>
      <c r="S2" s="1" t="str">
        <f>'May 12(3)'!R2</f>
        <v>No.1-2(1)/2012-CP&amp;M-LTP    </v>
      </c>
      <c r="T2" s="39"/>
      <c r="U2" s="39"/>
      <c r="V2" s="39"/>
      <c r="W2" s="39"/>
      <c r="X2" s="353"/>
      <c r="Y2" s="1" t="s">
        <v>130</v>
      </c>
      <c r="Z2" s="39"/>
      <c r="AA2" s="203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1" t="s">
        <v>131</v>
      </c>
      <c r="AU2" s="39"/>
      <c r="AV2" s="2"/>
      <c r="AW2" s="3"/>
    </row>
    <row r="3" spans="1:49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2"/>
      <c r="AW3" s="3"/>
    </row>
    <row r="4" spans="1:49" ht="30.75" customHeight="1">
      <c r="A4" s="407" t="s">
        <v>18</v>
      </c>
      <c r="B4" s="407" t="s">
        <v>17</v>
      </c>
      <c r="C4" s="402" t="s">
        <v>195</v>
      </c>
      <c r="D4" s="403"/>
      <c r="E4" s="403"/>
      <c r="F4" s="404"/>
      <c r="G4" s="402" t="s">
        <v>166</v>
      </c>
      <c r="H4" s="403"/>
      <c r="I4" s="403"/>
      <c r="J4" s="404"/>
      <c r="K4" s="402" t="s">
        <v>196</v>
      </c>
      <c r="L4" s="403"/>
      <c r="M4" s="403"/>
      <c r="N4" s="404"/>
      <c r="O4" s="448" t="s">
        <v>207</v>
      </c>
      <c r="P4" s="449"/>
      <c r="Q4" s="449"/>
      <c r="R4" s="450"/>
      <c r="S4" s="426" t="s">
        <v>24</v>
      </c>
      <c r="T4" s="426"/>
      <c r="U4" s="426"/>
      <c r="V4" s="426"/>
      <c r="W4" s="426"/>
      <c r="X4" s="426"/>
      <c r="Y4" s="426"/>
      <c r="Z4" s="426"/>
      <c r="AA4" s="402" t="s">
        <v>61</v>
      </c>
      <c r="AB4" s="403"/>
      <c r="AC4" s="403"/>
      <c r="AD4" s="403"/>
      <c r="AE4" s="402" t="s">
        <v>62</v>
      </c>
      <c r="AF4" s="403"/>
      <c r="AG4" s="403"/>
      <c r="AH4" s="403"/>
      <c r="AI4" s="402" t="s">
        <v>185</v>
      </c>
      <c r="AJ4" s="403"/>
      <c r="AK4" s="403"/>
      <c r="AL4" s="404"/>
      <c r="AM4" s="40"/>
      <c r="AN4" s="443" t="s">
        <v>205</v>
      </c>
      <c r="AO4" s="444"/>
      <c r="AP4" s="444"/>
      <c r="AQ4" s="445"/>
      <c r="AR4" s="402" t="s">
        <v>186</v>
      </c>
      <c r="AS4" s="403"/>
      <c r="AT4" s="403"/>
      <c r="AU4" s="404"/>
      <c r="AV4" s="6"/>
      <c r="AW4" s="6"/>
    </row>
    <row r="5" spans="1:49" ht="18" customHeight="1">
      <c r="A5" s="408"/>
      <c r="B5" s="408"/>
      <c r="C5" s="407" t="s">
        <v>26</v>
      </c>
      <c r="D5" s="407" t="s">
        <v>21</v>
      </c>
      <c r="E5" s="407" t="s">
        <v>1</v>
      </c>
      <c r="F5" s="446" t="s">
        <v>2</v>
      </c>
      <c r="G5" s="407" t="s">
        <v>26</v>
      </c>
      <c r="H5" s="407" t="s">
        <v>94</v>
      </c>
      <c r="I5" s="407" t="s">
        <v>93</v>
      </c>
      <c r="J5" s="446" t="s">
        <v>2</v>
      </c>
      <c r="K5" s="407" t="s">
        <v>26</v>
      </c>
      <c r="L5" s="407" t="s">
        <v>21</v>
      </c>
      <c r="M5" s="407" t="s">
        <v>1</v>
      </c>
      <c r="N5" s="446" t="s">
        <v>2</v>
      </c>
      <c r="O5" s="407" t="s">
        <v>26</v>
      </c>
      <c r="P5" s="407" t="s">
        <v>21</v>
      </c>
      <c r="Q5" s="407" t="s">
        <v>1</v>
      </c>
      <c r="R5" s="446" t="s">
        <v>2</v>
      </c>
      <c r="S5" s="426" t="s">
        <v>0</v>
      </c>
      <c r="T5" s="426"/>
      <c r="U5" s="426"/>
      <c r="V5" s="426"/>
      <c r="W5" s="426" t="s">
        <v>177</v>
      </c>
      <c r="X5" s="426"/>
      <c r="Y5" s="426"/>
      <c r="Z5" s="426"/>
      <c r="AA5" s="407" t="s">
        <v>26</v>
      </c>
      <c r="AB5" s="407" t="s">
        <v>21</v>
      </c>
      <c r="AC5" s="441" t="s">
        <v>64</v>
      </c>
      <c r="AD5" s="407" t="s">
        <v>1</v>
      </c>
      <c r="AE5" s="407" t="s">
        <v>26</v>
      </c>
      <c r="AF5" s="407" t="s">
        <v>21</v>
      </c>
      <c r="AG5" s="441" t="s">
        <v>64</v>
      </c>
      <c r="AH5" s="407" t="s">
        <v>1</v>
      </c>
      <c r="AI5" s="407" t="s">
        <v>26</v>
      </c>
      <c r="AJ5" s="407" t="s">
        <v>21</v>
      </c>
      <c r="AK5" s="407" t="s">
        <v>1</v>
      </c>
      <c r="AL5" s="407" t="s">
        <v>2</v>
      </c>
      <c r="AM5" s="37"/>
      <c r="AN5" s="407" t="s">
        <v>26</v>
      </c>
      <c r="AO5" s="407" t="s">
        <v>21</v>
      </c>
      <c r="AP5" s="407" t="s">
        <v>1</v>
      </c>
      <c r="AQ5" s="407" t="s">
        <v>2</v>
      </c>
      <c r="AR5" s="407" t="s">
        <v>26</v>
      </c>
      <c r="AS5" s="407" t="s">
        <v>21</v>
      </c>
      <c r="AT5" s="407" t="s">
        <v>1</v>
      </c>
      <c r="AU5" s="407" t="s">
        <v>2</v>
      </c>
      <c r="AV5" s="6"/>
      <c r="AW5" s="6"/>
    </row>
    <row r="6" spans="1:49" ht="29.25" customHeight="1">
      <c r="A6" s="409"/>
      <c r="B6" s="409"/>
      <c r="C6" s="409"/>
      <c r="D6" s="409"/>
      <c r="E6" s="409"/>
      <c r="F6" s="447"/>
      <c r="G6" s="409"/>
      <c r="H6" s="409"/>
      <c r="I6" s="409"/>
      <c r="J6" s="447"/>
      <c r="K6" s="409"/>
      <c r="L6" s="409"/>
      <c r="M6" s="409"/>
      <c r="N6" s="447"/>
      <c r="O6" s="408"/>
      <c r="P6" s="409"/>
      <c r="Q6" s="409"/>
      <c r="R6" s="447"/>
      <c r="S6" s="12" t="s">
        <v>26</v>
      </c>
      <c r="T6" s="12" t="s">
        <v>20</v>
      </c>
      <c r="U6" s="12" t="s">
        <v>1</v>
      </c>
      <c r="V6" s="12" t="s">
        <v>2</v>
      </c>
      <c r="W6" s="12" t="s">
        <v>26</v>
      </c>
      <c r="X6" s="12" t="s">
        <v>20</v>
      </c>
      <c r="Y6" s="12" t="s">
        <v>1</v>
      </c>
      <c r="Z6" s="12" t="s">
        <v>2</v>
      </c>
      <c r="AA6" s="409"/>
      <c r="AB6" s="409"/>
      <c r="AC6" s="442"/>
      <c r="AD6" s="409"/>
      <c r="AE6" s="409"/>
      <c r="AF6" s="409"/>
      <c r="AG6" s="442"/>
      <c r="AH6" s="409"/>
      <c r="AI6" s="409"/>
      <c r="AJ6" s="409"/>
      <c r="AK6" s="409"/>
      <c r="AL6" s="409"/>
      <c r="AM6" s="38"/>
      <c r="AN6" s="409"/>
      <c r="AO6" s="409"/>
      <c r="AP6" s="409"/>
      <c r="AQ6" s="409"/>
      <c r="AR6" s="409"/>
      <c r="AS6" s="409"/>
      <c r="AT6" s="409"/>
      <c r="AU6" s="409"/>
      <c r="AV6" s="6"/>
      <c r="AW6" s="6"/>
    </row>
    <row r="7" spans="1:58" ht="21" customHeight="1">
      <c r="A7" s="24">
        <v>1</v>
      </c>
      <c r="B7" s="25" t="s">
        <v>39</v>
      </c>
      <c r="C7" s="35">
        <v>54970</v>
      </c>
      <c r="D7" s="35">
        <v>29500</v>
      </c>
      <c r="E7" s="35">
        <v>118250</v>
      </c>
      <c r="F7" s="26">
        <f aca="true" t="shared" si="0" ref="F7:F32">C7+D7+E7</f>
        <v>202720</v>
      </c>
      <c r="G7" s="175"/>
      <c r="H7" s="313"/>
      <c r="I7" s="313"/>
      <c r="J7" s="26">
        <f aca="true" t="shared" si="1" ref="J7:J32">G7+H7+I7</f>
        <v>0</v>
      </c>
      <c r="K7" s="35">
        <v>54970</v>
      </c>
      <c r="L7" s="35">
        <v>29500</v>
      </c>
      <c r="M7" s="35">
        <v>400000</v>
      </c>
      <c r="N7" s="26">
        <f aca="true" t="shared" si="2" ref="N7:N32">K7+L7+M7</f>
        <v>484470</v>
      </c>
      <c r="O7" s="35">
        <v>54970</v>
      </c>
      <c r="P7" s="35">
        <v>29500</v>
      </c>
      <c r="Q7" s="35">
        <v>400000</v>
      </c>
      <c r="R7" s="35">
        <f aca="true" t="shared" si="3" ref="R7:R32">O7+P7+Q7</f>
        <v>484470</v>
      </c>
      <c r="S7" s="35">
        <f aca="true" t="shared" si="4" ref="S7:S32">O7-K7</f>
        <v>0</v>
      </c>
      <c r="T7" s="35">
        <f aca="true" t="shared" si="5" ref="T7:T32">P7-L7</f>
        <v>0</v>
      </c>
      <c r="U7" s="35">
        <f aca="true" t="shared" si="6" ref="U7:U32">Q7-M7</f>
        <v>0</v>
      </c>
      <c r="V7" s="26">
        <f aca="true" t="shared" si="7" ref="V7:V32">SUM(S7:U7)</f>
        <v>0</v>
      </c>
      <c r="W7" s="26">
        <f aca="true" t="shared" si="8" ref="W7:W32">O7-C7</f>
        <v>0</v>
      </c>
      <c r="X7" s="26">
        <f aca="true" t="shared" si="9" ref="X7:X32">P7-D7</f>
        <v>0</v>
      </c>
      <c r="Y7" s="26">
        <f aca="true" t="shared" si="10" ref="Y7:Y32">Q7-E7</f>
        <v>281750</v>
      </c>
      <c r="Z7" s="26">
        <f aca="true" t="shared" si="11" ref="Z7:Z32">SUM(W7:Y7)</f>
        <v>281750</v>
      </c>
      <c r="AA7" s="35">
        <v>0</v>
      </c>
      <c r="AB7" s="231">
        <v>0</v>
      </c>
      <c r="AC7" s="231">
        <v>0</v>
      </c>
      <c r="AD7" s="35">
        <v>0</v>
      </c>
      <c r="AE7" s="35">
        <v>0</v>
      </c>
      <c r="AF7" s="231">
        <v>0</v>
      </c>
      <c r="AG7" s="231">
        <v>0</v>
      </c>
      <c r="AH7" s="35">
        <v>0</v>
      </c>
      <c r="AI7" s="160">
        <f aca="true" t="shared" si="12" ref="AI7:AK22">(AN7-AR7)/AR7*100</f>
        <v>-4.903809883062999</v>
      </c>
      <c r="AJ7" s="160">
        <f t="shared" si="12"/>
        <v>4.625727473409591</v>
      </c>
      <c r="AK7" s="160">
        <f t="shared" si="12"/>
        <v>-69.58405392561193</v>
      </c>
      <c r="AL7" s="160">
        <f aca="true" t="shared" si="13" ref="AL7:AL33">(AQ7-AU7)/AU7</f>
        <v>-0.5716180802569123</v>
      </c>
      <c r="AM7" s="160"/>
      <c r="AN7" s="157">
        <f>'May 12(1)'!O6/'May 12 (4&amp;5)'!O7*100</f>
        <v>27.516827360378386</v>
      </c>
      <c r="AO7" s="157">
        <f>'May 12(1)'!P6/'May 12 (4&amp;5)'!P7*100</f>
        <v>35.34576271186441</v>
      </c>
      <c r="AP7" s="157">
        <f>'May 12(1)'!Q6/'May 12 (4&amp;5)'!Q7*100</f>
        <v>47.088</v>
      </c>
      <c r="AQ7" s="157">
        <f>'May 12(1)'!R6/'May 12 (4&amp;5)'!R7*100</f>
        <v>44.15237269593577</v>
      </c>
      <c r="AR7" s="157">
        <f>'May 12(1)'!C6/'May 12 (4&amp;5)'!C7*100</f>
        <v>28.93578315444788</v>
      </c>
      <c r="AS7" s="157">
        <f>'May 12(1)'!D6/'May 12 (4&amp;5)'!D7*100</f>
        <v>33.78305084745763</v>
      </c>
      <c r="AT7" s="157">
        <f>'May 12(1)'!E6/'May 12 (4&amp;5)'!E7*100</f>
        <v>154.8135306553911</v>
      </c>
      <c r="AU7" s="157">
        <f>'May 12(1)'!F6/'May 12 (4&amp;5)'!F7*100</f>
        <v>103.06777821625887</v>
      </c>
      <c r="AV7" s="7"/>
      <c r="AW7" s="7"/>
      <c r="AX7" s="8"/>
      <c r="AY7" s="8"/>
      <c r="AZ7" s="8"/>
      <c r="BA7" s="8"/>
      <c r="BB7" s="8"/>
      <c r="BC7" s="8"/>
      <c r="BD7" s="8"/>
      <c r="BE7" s="8"/>
      <c r="BF7" s="8"/>
    </row>
    <row r="8" spans="1:58" ht="21" customHeight="1">
      <c r="A8" s="27">
        <v>2</v>
      </c>
      <c r="B8" s="28" t="s">
        <v>65</v>
      </c>
      <c r="C8" s="33">
        <v>3444521</v>
      </c>
      <c r="D8" s="33">
        <v>542000</v>
      </c>
      <c r="E8" s="33">
        <v>5330027</v>
      </c>
      <c r="F8" s="29">
        <f t="shared" si="0"/>
        <v>9316548</v>
      </c>
      <c r="G8" s="176"/>
      <c r="H8" s="314"/>
      <c r="I8" s="314"/>
      <c r="J8" s="29">
        <f t="shared" si="1"/>
        <v>0</v>
      </c>
      <c r="K8" s="33">
        <v>3431109</v>
      </c>
      <c r="L8" s="33">
        <v>542000</v>
      </c>
      <c r="M8" s="33">
        <v>5352584</v>
      </c>
      <c r="N8" s="29">
        <f t="shared" si="2"/>
        <v>9325693</v>
      </c>
      <c r="O8" s="33">
        <v>3428529</v>
      </c>
      <c r="P8" s="33">
        <v>542000</v>
      </c>
      <c r="Q8" s="33">
        <v>5375711</v>
      </c>
      <c r="R8" s="33">
        <f t="shared" si="3"/>
        <v>9346240</v>
      </c>
      <c r="S8" s="33">
        <f t="shared" si="4"/>
        <v>-2580</v>
      </c>
      <c r="T8" s="33">
        <f t="shared" si="5"/>
        <v>0</v>
      </c>
      <c r="U8" s="33">
        <f t="shared" si="6"/>
        <v>23127</v>
      </c>
      <c r="V8" s="29">
        <f t="shared" si="7"/>
        <v>20547</v>
      </c>
      <c r="W8" s="29">
        <f t="shared" si="8"/>
        <v>-15992</v>
      </c>
      <c r="X8" s="29">
        <f t="shared" si="9"/>
        <v>0</v>
      </c>
      <c r="Y8" s="29">
        <f t="shared" si="10"/>
        <v>45684</v>
      </c>
      <c r="Z8" s="29">
        <f t="shared" si="11"/>
        <v>29692</v>
      </c>
      <c r="AA8" s="35">
        <v>0</v>
      </c>
      <c r="AB8" s="35">
        <v>250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160">
        <f t="shared" si="12"/>
        <v>-1.2783599095158653</v>
      </c>
      <c r="AJ8" s="160">
        <f t="shared" si="12"/>
        <v>-3.587651588466552</v>
      </c>
      <c r="AK8" s="160">
        <f t="shared" si="12"/>
        <v>-0.7413620874638964</v>
      </c>
      <c r="AL8" s="160">
        <f t="shared" si="13"/>
        <v>-0.006109322482664459</v>
      </c>
      <c r="AM8" s="161"/>
      <c r="AN8" s="157">
        <f>'May 12(1)'!O7/'May 12 (4&amp;5)'!O8*100</f>
        <v>56.46287372806238</v>
      </c>
      <c r="AO8" s="157">
        <f>'May 12(1)'!P7/'May 12 (4&amp;5)'!P8*100</f>
        <v>38.4160516605166</v>
      </c>
      <c r="AP8" s="157">
        <f>'May 12(1)'!Q7/'May 12 (4&amp;5)'!Q8*100</f>
        <v>163.95801411199372</v>
      </c>
      <c r="AQ8" s="157">
        <f>'May 12(1)'!R7/'May 12 (4&amp;5)'!R8*100</f>
        <v>117.2446887732393</v>
      </c>
      <c r="AR8" s="157">
        <f>'May 12(1)'!C7/'May 12 (4&amp;5)'!C8*100</f>
        <v>57.194019139381055</v>
      </c>
      <c r="AS8" s="157">
        <f>'May 12(1)'!D7/'May 12 (4&amp;5)'!D8*100</f>
        <v>39.84557195571956</v>
      </c>
      <c r="AT8" s="157">
        <f>'May 12(1)'!E7/'May 12 (4&amp;5)'!E8*100</f>
        <v>165.18261539763307</v>
      </c>
      <c r="AU8" s="157">
        <f>'May 12(1)'!F7/'May 12 (4&amp;5)'!F8*100</f>
        <v>117.96537730498464</v>
      </c>
      <c r="AV8" s="7"/>
      <c r="AW8" s="7"/>
      <c r="AX8" s="8"/>
      <c r="AY8" s="8"/>
      <c r="AZ8" s="8"/>
      <c r="BA8" s="8"/>
      <c r="BB8" s="8"/>
      <c r="BC8" s="8"/>
      <c r="BD8" s="8"/>
      <c r="BE8" s="8"/>
      <c r="BF8" s="8"/>
    </row>
    <row r="9" spans="1:67" ht="21" customHeight="1">
      <c r="A9" s="30">
        <v>3</v>
      </c>
      <c r="B9" s="31" t="s">
        <v>3</v>
      </c>
      <c r="C9" s="34">
        <v>586434</v>
      </c>
      <c r="D9" s="34">
        <v>240750</v>
      </c>
      <c r="E9" s="34">
        <v>1314429</v>
      </c>
      <c r="F9" s="32">
        <f t="shared" si="0"/>
        <v>2141613</v>
      </c>
      <c r="G9" s="177"/>
      <c r="H9" s="315"/>
      <c r="I9" s="315"/>
      <c r="J9" s="32">
        <f t="shared" si="1"/>
        <v>0</v>
      </c>
      <c r="K9" s="34">
        <v>586434</v>
      </c>
      <c r="L9" s="34">
        <v>240750</v>
      </c>
      <c r="M9" s="34">
        <v>1315551</v>
      </c>
      <c r="N9" s="32">
        <f t="shared" si="2"/>
        <v>2142735</v>
      </c>
      <c r="O9" s="34">
        <v>586330</v>
      </c>
      <c r="P9" s="34">
        <v>240750</v>
      </c>
      <c r="Q9" s="34">
        <v>1316551</v>
      </c>
      <c r="R9" s="34">
        <f t="shared" si="3"/>
        <v>2143631</v>
      </c>
      <c r="S9" s="32">
        <f t="shared" si="4"/>
        <v>-104</v>
      </c>
      <c r="T9" s="32">
        <f t="shared" si="5"/>
        <v>0</v>
      </c>
      <c r="U9" s="32">
        <f t="shared" si="6"/>
        <v>1000</v>
      </c>
      <c r="V9" s="32">
        <f t="shared" si="7"/>
        <v>896</v>
      </c>
      <c r="W9" s="32">
        <f t="shared" si="8"/>
        <v>-104</v>
      </c>
      <c r="X9" s="32">
        <f t="shared" si="9"/>
        <v>0</v>
      </c>
      <c r="Y9" s="32">
        <f t="shared" si="10"/>
        <v>2122</v>
      </c>
      <c r="Z9" s="32">
        <f t="shared" si="11"/>
        <v>2018</v>
      </c>
      <c r="AA9" s="35">
        <v>0</v>
      </c>
      <c r="AB9" s="35">
        <v>750</v>
      </c>
      <c r="AC9" s="35">
        <v>3180</v>
      </c>
      <c r="AD9" s="35">
        <v>542</v>
      </c>
      <c r="AE9" s="35">
        <v>0</v>
      </c>
      <c r="AF9" s="35">
        <v>44000</v>
      </c>
      <c r="AG9" s="35">
        <v>21031</v>
      </c>
      <c r="AH9" s="35">
        <v>0</v>
      </c>
      <c r="AI9" s="160">
        <f t="shared" si="12"/>
        <v>-11.600798024819282</v>
      </c>
      <c r="AJ9" s="160">
        <f t="shared" si="12"/>
        <v>0.12993262752646315</v>
      </c>
      <c r="AK9" s="160">
        <f t="shared" si="12"/>
        <v>0.2804752988522923</v>
      </c>
      <c r="AL9" s="160">
        <f t="shared" si="13"/>
        <v>-0.015079810784490385</v>
      </c>
      <c r="AM9" s="161"/>
      <c r="AN9" s="157">
        <f>'May 12(1)'!O8/'May 12 (4&amp;5)'!O9*100</f>
        <v>34.25255402247881</v>
      </c>
      <c r="AO9" s="157">
        <f>'May 12(1)'!P8/'May 12 (4&amp;5)'!P9*100</f>
        <v>43.2128764278297</v>
      </c>
      <c r="AP9" s="157">
        <f>'May 12(1)'!Q8/'May 12 (4&amp;5)'!Q9*100</f>
        <v>88.61160714624803</v>
      </c>
      <c r="AQ9" s="157">
        <f>'May 12(1)'!R8/'May 12 (4&amp;5)'!R9*100</f>
        <v>68.64451017922394</v>
      </c>
      <c r="AR9" s="157">
        <f>'May 12(1)'!C8/'May 12 (4&amp;5)'!C9*100</f>
        <v>38.74758284819775</v>
      </c>
      <c r="AS9" s="157">
        <f>'May 12(1)'!D8/'May 12 (4&amp;5)'!D9*100</f>
        <v>43.15680166147456</v>
      </c>
      <c r="AT9" s="157">
        <f>'May 12(1)'!E8/'May 12 (4&amp;5)'!E9*100</f>
        <v>88.36376860218391</v>
      </c>
      <c r="AU9" s="157">
        <f>'May 12(1)'!F8/'May 12 (4&amp;5)'!F9*100</f>
        <v>69.69550521032511</v>
      </c>
      <c r="AV9" s="7"/>
      <c r="AW9" s="7"/>
      <c r="AX9" s="8"/>
      <c r="AY9" s="8"/>
      <c r="AZ9" s="8"/>
      <c r="BA9" s="8"/>
      <c r="BB9" s="8"/>
      <c r="BC9" s="8"/>
      <c r="BD9" s="8"/>
      <c r="BE9" s="8"/>
      <c r="BF9" s="8"/>
      <c r="BO9" s="4" t="s">
        <v>4</v>
      </c>
    </row>
    <row r="10" spans="1:67" ht="21" customHeight="1">
      <c r="A10" s="24">
        <v>4</v>
      </c>
      <c r="B10" s="25" t="s">
        <v>31</v>
      </c>
      <c r="C10" s="35">
        <v>1317308</v>
      </c>
      <c r="D10" s="35">
        <v>366000</v>
      </c>
      <c r="E10" s="35">
        <v>2262784</v>
      </c>
      <c r="F10" s="26">
        <f t="shared" si="0"/>
        <v>3946092</v>
      </c>
      <c r="G10" s="175"/>
      <c r="H10" s="313"/>
      <c r="I10" s="313"/>
      <c r="J10" s="26">
        <f t="shared" si="1"/>
        <v>0</v>
      </c>
      <c r="K10" s="35">
        <v>1316060</v>
      </c>
      <c r="L10" s="35">
        <v>366000</v>
      </c>
      <c r="M10" s="35">
        <v>2263074</v>
      </c>
      <c r="N10" s="26">
        <f t="shared" si="2"/>
        <v>3945134</v>
      </c>
      <c r="O10" s="35">
        <v>1316060</v>
      </c>
      <c r="P10" s="35">
        <v>236250</v>
      </c>
      <c r="Q10" s="35">
        <v>2264234</v>
      </c>
      <c r="R10" s="35">
        <f t="shared" si="3"/>
        <v>3816544</v>
      </c>
      <c r="S10" s="26">
        <f t="shared" si="4"/>
        <v>0</v>
      </c>
      <c r="T10" s="384">
        <f t="shared" si="5"/>
        <v>-129750</v>
      </c>
      <c r="U10" s="26">
        <f t="shared" si="6"/>
        <v>1160</v>
      </c>
      <c r="V10" s="26">
        <f t="shared" si="7"/>
        <v>-128590</v>
      </c>
      <c r="W10" s="26">
        <f t="shared" si="8"/>
        <v>-1248</v>
      </c>
      <c r="X10" s="26">
        <f t="shared" si="9"/>
        <v>-129750</v>
      </c>
      <c r="Y10" s="26">
        <f t="shared" si="10"/>
        <v>1450</v>
      </c>
      <c r="Z10" s="35">
        <f t="shared" si="11"/>
        <v>-129548</v>
      </c>
      <c r="AA10" s="35">
        <v>0</v>
      </c>
      <c r="AB10" s="35">
        <v>0</v>
      </c>
      <c r="AC10" s="231">
        <v>0</v>
      </c>
      <c r="AD10" s="35">
        <v>24179</v>
      </c>
      <c r="AE10" s="35">
        <v>0</v>
      </c>
      <c r="AF10" s="35">
        <v>0</v>
      </c>
      <c r="AG10" s="231">
        <v>0</v>
      </c>
      <c r="AH10" s="35">
        <v>0</v>
      </c>
      <c r="AI10" s="160">
        <f t="shared" si="12"/>
        <v>0.22688181457904466</v>
      </c>
      <c r="AJ10" s="160">
        <f t="shared" si="12"/>
        <v>-27.820454443504268</v>
      </c>
      <c r="AK10" s="160">
        <f t="shared" si="12"/>
        <v>0.8127699140434184</v>
      </c>
      <c r="AL10" s="160">
        <f t="shared" si="13"/>
        <v>0.009254902563073313</v>
      </c>
      <c r="AM10" s="160"/>
      <c r="AN10" s="157">
        <f>'May 12(1)'!O9/'May 12 (4&amp;5)'!O10*100</f>
        <v>28.893287540081758</v>
      </c>
      <c r="AO10" s="157">
        <f>'May 12(1)'!P9/'May 12 (4&amp;5)'!P10*100</f>
        <v>56.03597883597884</v>
      </c>
      <c r="AP10" s="157">
        <f>'May 12(1)'!Q9/'May 12 (4&amp;5)'!Q10*100</f>
        <v>184.75135520445326</v>
      </c>
      <c r="AQ10" s="157">
        <f>'May 12(1)'!R9/'May 12 (4&amp;5)'!R10*100</f>
        <v>123.03908981528839</v>
      </c>
      <c r="AR10" s="157">
        <f>'May 12(1)'!C9/'May 12 (4&amp;5)'!C10*100</f>
        <v>28.827882317574932</v>
      </c>
      <c r="AS10" s="157">
        <f>'May 12(1)'!D9/'May 12 (4&amp;5)'!D10*100</f>
        <v>77.63415300546448</v>
      </c>
      <c r="AT10" s="157">
        <f>'May 12(1)'!E9/'May 12 (4&amp;5)'!E10*100</f>
        <v>183.26185795904516</v>
      </c>
      <c r="AU10" s="157">
        <f>'May 12(1)'!F9/'May 12 (4&amp;5)'!F10*100</f>
        <v>121.91081708181157</v>
      </c>
      <c r="AV10" s="7"/>
      <c r="AW10" s="7"/>
      <c r="AX10" s="8"/>
      <c r="AY10" s="8"/>
      <c r="AZ10" s="8"/>
      <c r="BA10" s="8"/>
      <c r="BB10" s="8"/>
      <c r="BC10" s="8"/>
      <c r="BD10" s="8"/>
      <c r="BE10" s="8"/>
      <c r="BF10" s="8"/>
      <c r="BO10" s="4" t="s">
        <v>4</v>
      </c>
    </row>
    <row r="11" spans="1:67" ht="21" customHeight="1">
      <c r="A11" s="27">
        <v>5</v>
      </c>
      <c r="B11" s="28" t="s">
        <v>5</v>
      </c>
      <c r="C11" s="33">
        <v>380503</v>
      </c>
      <c r="D11" s="33">
        <v>216500</v>
      </c>
      <c r="E11" s="33">
        <v>1748165</v>
      </c>
      <c r="F11" s="29">
        <f t="shared" si="0"/>
        <v>2345168</v>
      </c>
      <c r="G11" s="176"/>
      <c r="H11" s="314"/>
      <c r="I11" s="314"/>
      <c r="J11" s="29">
        <f t="shared" si="1"/>
        <v>0</v>
      </c>
      <c r="K11" s="33">
        <v>382071</v>
      </c>
      <c r="L11" s="33">
        <v>214000</v>
      </c>
      <c r="M11" s="33">
        <v>1748165</v>
      </c>
      <c r="N11" s="29">
        <f t="shared" si="2"/>
        <v>2344236</v>
      </c>
      <c r="O11" s="33">
        <v>374959</v>
      </c>
      <c r="P11" s="33">
        <v>216500</v>
      </c>
      <c r="Q11" s="33">
        <v>1748623</v>
      </c>
      <c r="R11" s="33">
        <f t="shared" si="3"/>
        <v>2340082</v>
      </c>
      <c r="S11" s="33">
        <f t="shared" si="4"/>
        <v>-7112</v>
      </c>
      <c r="T11" s="33">
        <f t="shared" si="5"/>
        <v>2500</v>
      </c>
      <c r="U11" s="33">
        <f t="shared" si="6"/>
        <v>458</v>
      </c>
      <c r="V11" s="33">
        <f t="shared" si="7"/>
        <v>-4154</v>
      </c>
      <c r="W11" s="33">
        <f t="shared" si="8"/>
        <v>-5544</v>
      </c>
      <c r="X11" s="33">
        <f t="shared" si="9"/>
        <v>0</v>
      </c>
      <c r="Y11" s="33">
        <f t="shared" si="10"/>
        <v>458</v>
      </c>
      <c r="Z11" s="33">
        <f t="shared" si="11"/>
        <v>-5086</v>
      </c>
      <c r="AA11" s="35">
        <v>0</v>
      </c>
      <c r="AB11" s="35">
        <v>0</v>
      </c>
      <c r="AC11" s="231">
        <v>0</v>
      </c>
      <c r="AD11" s="35">
        <v>0</v>
      </c>
      <c r="AE11" s="35">
        <v>0</v>
      </c>
      <c r="AF11" s="35">
        <v>0</v>
      </c>
      <c r="AG11" s="231">
        <v>0</v>
      </c>
      <c r="AH11" s="35">
        <v>0</v>
      </c>
      <c r="AI11" s="160">
        <f t="shared" si="12"/>
        <v>0.14278206661433718</v>
      </c>
      <c r="AJ11" s="160">
        <f t="shared" si="12"/>
        <v>-3.0745727840813193</v>
      </c>
      <c r="AK11" s="160">
        <f t="shared" si="12"/>
        <v>4.4070592650575575</v>
      </c>
      <c r="AL11" s="160">
        <f t="shared" si="13"/>
        <v>0.035575780496990006</v>
      </c>
      <c r="AM11" s="161"/>
      <c r="AN11" s="157">
        <f>'May 12(1)'!O10/'May 12 (4&amp;5)'!O11*100</f>
        <v>38.728500982774115</v>
      </c>
      <c r="AO11" s="157">
        <f>'May 12(1)'!P10/'May 12 (4&amp;5)'!P11*100</f>
        <v>58.31732101616628</v>
      </c>
      <c r="AP11" s="157">
        <f>'May 12(1)'!Q10/'May 12 (4&amp;5)'!Q11*100</f>
        <v>82.35703179015717</v>
      </c>
      <c r="AQ11" s="157">
        <f>'May 12(1)'!R10/'May 12 (4&amp;5)'!R11*100</f>
        <v>73.14218048769231</v>
      </c>
      <c r="AR11" s="157">
        <f>'May 12(1)'!C10/'May 12 (4&amp;5)'!C11*100</f>
        <v>38.67328247083466</v>
      </c>
      <c r="AS11" s="157">
        <f>'May 12(1)'!D10/'May 12 (4&amp;5)'!D11*100</f>
        <v>60.16720554272518</v>
      </c>
      <c r="AT11" s="157">
        <f>'May 12(1)'!E10/'May 12 (4&amp;5)'!E11*100</f>
        <v>78.88071206093247</v>
      </c>
      <c r="AU11" s="157">
        <f>'May 12(1)'!F10/'May 12 (4&amp;5)'!F11*100</f>
        <v>70.62948155526597</v>
      </c>
      <c r="AV11" s="7"/>
      <c r="AW11" s="7"/>
      <c r="AX11" s="8"/>
      <c r="AY11" s="8"/>
      <c r="AZ11" s="8"/>
      <c r="BA11" s="8"/>
      <c r="BB11" s="8"/>
      <c r="BC11" s="8"/>
      <c r="BD11" s="8"/>
      <c r="BE11" s="8"/>
      <c r="BF11" s="8"/>
      <c r="BO11" s="4" t="s">
        <v>4</v>
      </c>
    </row>
    <row r="12" spans="1:67" ht="21" customHeight="1">
      <c r="A12" s="30">
        <v>6</v>
      </c>
      <c r="B12" s="31" t="s">
        <v>32</v>
      </c>
      <c r="C12" s="34">
        <v>3288026</v>
      </c>
      <c r="D12" s="34">
        <v>357250</v>
      </c>
      <c r="E12" s="34">
        <v>4384707</v>
      </c>
      <c r="F12" s="32">
        <f t="shared" si="0"/>
        <v>8029983</v>
      </c>
      <c r="G12" s="177"/>
      <c r="H12" s="315"/>
      <c r="I12" s="315"/>
      <c r="J12" s="32">
        <f t="shared" si="1"/>
        <v>0</v>
      </c>
      <c r="K12" s="34">
        <v>3247698</v>
      </c>
      <c r="L12" s="34">
        <v>357250</v>
      </c>
      <c r="M12" s="34">
        <v>4398837</v>
      </c>
      <c r="N12" s="32">
        <f t="shared" si="2"/>
        <v>8003785</v>
      </c>
      <c r="O12" s="34">
        <v>3248698</v>
      </c>
      <c r="P12" s="34">
        <v>357250</v>
      </c>
      <c r="Q12" s="34">
        <v>4400055</v>
      </c>
      <c r="R12" s="34">
        <f t="shared" si="3"/>
        <v>8006003</v>
      </c>
      <c r="S12" s="32">
        <f t="shared" si="4"/>
        <v>1000</v>
      </c>
      <c r="T12" s="32">
        <f t="shared" si="5"/>
        <v>0</v>
      </c>
      <c r="U12" s="32">
        <f t="shared" si="6"/>
        <v>1218</v>
      </c>
      <c r="V12" s="32">
        <f t="shared" si="7"/>
        <v>2218</v>
      </c>
      <c r="W12" s="32">
        <f t="shared" si="8"/>
        <v>-39328</v>
      </c>
      <c r="X12" s="32">
        <f t="shared" si="9"/>
        <v>0</v>
      </c>
      <c r="Y12" s="34">
        <f t="shared" si="10"/>
        <v>15348</v>
      </c>
      <c r="Z12" s="34">
        <f t="shared" si="11"/>
        <v>-23980</v>
      </c>
      <c r="AA12" s="35">
        <v>0</v>
      </c>
      <c r="AB12" s="231">
        <v>0</v>
      </c>
      <c r="AC12" s="231">
        <v>0</v>
      </c>
      <c r="AD12" s="231"/>
      <c r="AE12" s="35">
        <v>0</v>
      </c>
      <c r="AF12" s="231">
        <v>0</v>
      </c>
      <c r="AG12" s="231">
        <v>0</v>
      </c>
      <c r="AH12" s="231"/>
      <c r="AI12" s="160">
        <f t="shared" si="12"/>
        <v>0.5719610352516064</v>
      </c>
      <c r="AJ12" s="160">
        <f t="shared" si="12"/>
        <v>-11.163195866952428</v>
      </c>
      <c r="AK12" s="160">
        <f t="shared" si="12"/>
        <v>-0.5518156089036186</v>
      </c>
      <c r="AL12" s="160">
        <f t="shared" si="13"/>
        <v>-0.004594048996629359</v>
      </c>
      <c r="AM12" s="161"/>
      <c r="AN12" s="157">
        <f>'May 12(1)'!O11/'May 12 (4&amp;5)'!O12*100</f>
        <v>48.89783537897336</v>
      </c>
      <c r="AO12" s="157">
        <f>'May 12(1)'!P11/'May 12 (4&amp;5)'!P12*100</f>
        <v>57.6629811056683</v>
      </c>
      <c r="AP12" s="157">
        <f>'May 12(1)'!Q11/'May 12 (4&amp;5)'!Q12*100</f>
        <v>90.73952484684851</v>
      </c>
      <c r="AQ12" s="157">
        <f>'May 12(1)'!R11/'May 12 (4&amp;5)'!R12*100</f>
        <v>72.28492170187796</v>
      </c>
      <c r="AR12" s="157">
        <f>'May 12(1)'!C11/'May 12 (4&amp;5)'!C12*100</f>
        <v>48.61974935721311</v>
      </c>
      <c r="AS12" s="157">
        <f>'May 12(1)'!D11/'May 12 (4&amp;5)'!D12*100</f>
        <v>64.90888733379985</v>
      </c>
      <c r="AT12" s="157">
        <f>'May 12(1)'!E11/'May 12 (4&amp;5)'!E12*100</f>
        <v>91.24301806255242</v>
      </c>
      <c r="AU12" s="157">
        <f>'May 12(1)'!F11/'May 12 (4&amp;5)'!F12*100</f>
        <v>72.61853480885327</v>
      </c>
      <c r="AV12" s="7"/>
      <c r="AW12" s="7"/>
      <c r="AX12" s="8"/>
      <c r="AY12" s="8"/>
      <c r="AZ12" s="8"/>
      <c r="BA12" s="8"/>
      <c r="BB12" s="8"/>
      <c r="BC12" s="8"/>
      <c r="BD12" s="8"/>
      <c r="BE12" s="8"/>
      <c r="BF12" s="8"/>
      <c r="BO12" s="4" t="s">
        <v>4</v>
      </c>
    </row>
    <row r="13" spans="1:67" ht="21" customHeight="1">
      <c r="A13" s="24">
        <v>7</v>
      </c>
      <c r="B13" s="44" t="s">
        <v>66</v>
      </c>
      <c r="C13" s="35">
        <v>1265760</v>
      </c>
      <c r="D13" s="35">
        <v>195500</v>
      </c>
      <c r="E13" s="35">
        <v>2105510</v>
      </c>
      <c r="F13" s="26">
        <f t="shared" si="0"/>
        <v>3566770</v>
      </c>
      <c r="G13" s="175"/>
      <c r="H13" s="313"/>
      <c r="I13" s="313"/>
      <c r="J13" s="26">
        <f t="shared" si="1"/>
        <v>0</v>
      </c>
      <c r="K13" s="35">
        <v>1260244</v>
      </c>
      <c r="L13" s="35">
        <v>195500</v>
      </c>
      <c r="M13" s="35">
        <v>2105510</v>
      </c>
      <c r="N13" s="26">
        <f t="shared" si="2"/>
        <v>3561254</v>
      </c>
      <c r="O13" s="35">
        <v>1259256</v>
      </c>
      <c r="P13" s="35">
        <v>195500</v>
      </c>
      <c r="Q13" s="35">
        <v>2105510</v>
      </c>
      <c r="R13" s="35">
        <f t="shared" si="3"/>
        <v>3560266</v>
      </c>
      <c r="S13" s="35">
        <f t="shared" si="4"/>
        <v>-988</v>
      </c>
      <c r="T13" s="26">
        <f t="shared" si="5"/>
        <v>0</v>
      </c>
      <c r="U13" s="26">
        <f t="shared" si="6"/>
        <v>0</v>
      </c>
      <c r="V13" s="26">
        <f t="shared" si="7"/>
        <v>-988</v>
      </c>
      <c r="W13" s="26">
        <f t="shared" si="8"/>
        <v>-6504</v>
      </c>
      <c r="X13" s="26">
        <f t="shared" si="9"/>
        <v>0</v>
      </c>
      <c r="Y13" s="26">
        <f t="shared" si="10"/>
        <v>0</v>
      </c>
      <c r="Z13" s="26">
        <f t="shared" si="11"/>
        <v>-6504</v>
      </c>
      <c r="AA13" s="35">
        <v>87442</v>
      </c>
      <c r="AB13" s="35">
        <v>57000</v>
      </c>
      <c r="AC13" s="35">
        <v>18585</v>
      </c>
      <c r="AD13" s="35">
        <v>1400</v>
      </c>
      <c r="AE13" s="35">
        <v>0</v>
      </c>
      <c r="AF13" s="35">
        <v>0</v>
      </c>
      <c r="AG13" s="35">
        <v>0</v>
      </c>
      <c r="AH13" s="35">
        <v>0</v>
      </c>
      <c r="AI13" s="160">
        <f t="shared" si="12"/>
        <v>-0.8398917865648368</v>
      </c>
      <c r="AJ13" s="160">
        <f t="shared" si="12"/>
        <v>-4.267988167953596</v>
      </c>
      <c r="AK13" s="160">
        <f t="shared" si="12"/>
        <v>0.3910335091330376</v>
      </c>
      <c r="AL13" s="160">
        <f t="shared" si="13"/>
        <v>0.0027282738798113876</v>
      </c>
      <c r="AM13" s="160"/>
      <c r="AN13" s="157">
        <f>'May 12(1)'!O12/'May 12 (4&amp;5)'!O13*100</f>
        <v>42.53686303658668</v>
      </c>
      <c r="AO13" s="157">
        <f>'May 12(1)'!P12/'May 12 (4&amp;5)'!P13*100</f>
        <v>12.746803069053708</v>
      </c>
      <c r="AP13" s="157">
        <f>'May 12(1)'!Q12/'May 12 (4&amp;5)'!Q13*100</f>
        <v>141.7478900598905</v>
      </c>
      <c r="AQ13" s="157">
        <f>'May 12(1)'!R12/'May 12 (4&amp;5)'!R13*100</f>
        <v>99.57357118822021</v>
      </c>
      <c r="AR13" s="157">
        <f>'May 12(1)'!C12/'May 12 (4&amp;5)'!C13*100</f>
        <v>42.89715269877386</v>
      </c>
      <c r="AS13" s="157">
        <f>'May 12(1)'!D12/'May 12 (4&amp;5)'!D13*100</f>
        <v>13.315089514066496</v>
      </c>
      <c r="AT13" s="157">
        <f>'May 12(1)'!E12/'May 12 (4&amp;5)'!E13*100</f>
        <v>141.19576729628452</v>
      </c>
      <c r="AU13" s="157">
        <f>'May 12(1)'!F12/'May 12 (4&amp;5)'!F13*100</f>
        <v>99.30264637192754</v>
      </c>
      <c r="AV13" s="7"/>
      <c r="AW13" s="7"/>
      <c r="AX13" s="8"/>
      <c r="AY13" s="8"/>
      <c r="AZ13" s="8"/>
      <c r="BA13" s="8"/>
      <c r="BB13" s="8"/>
      <c r="BC13" s="8"/>
      <c r="BD13" s="8"/>
      <c r="BE13" s="8"/>
      <c r="BF13" s="8"/>
      <c r="BO13" s="4" t="s">
        <v>4</v>
      </c>
    </row>
    <row r="14" spans="1:67" ht="21" customHeight="1">
      <c r="A14" s="27">
        <v>8</v>
      </c>
      <c r="B14" s="45" t="s">
        <v>67</v>
      </c>
      <c r="C14" s="33">
        <v>586330</v>
      </c>
      <c r="D14" s="33">
        <v>185250</v>
      </c>
      <c r="E14" s="33">
        <v>1053350</v>
      </c>
      <c r="F14" s="29">
        <f t="shared" si="0"/>
        <v>1824930</v>
      </c>
      <c r="G14" s="176"/>
      <c r="H14" s="314"/>
      <c r="I14" s="314"/>
      <c r="J14" s="29">
        <f t="shared" si="1"/>
        <v>0</v>
      </c>
      <c r="K14" s="33">
        <v>578080</v>
      </c>
      <c r="L14" s="33">
        <v>185500</v>
      </c>
      <c r="M14" s="33">
        <v>1053350</v>
      </c>
      <c r="N14" s="29">
        <f t="shared" si="2"/>
        <v>1816930</v>
      </c>
      <c r="O14" s="33">
        <v>577464</v>
      </c>
      <c r="P14" s="33">
        <v>185500</v>
      </c>
      <c r="Q14" s="33">
        <v>1053350</v>
      </c>
      <c r="R14" s="33">
        <f t="shared" si="3"/>
        <v>1816314</v>
      </c>
      <c r="S14" s="33">
        <f t="shared" si="4"/>
        <v>-616</v>
      </c>
      <c r="T14" s="29">
        <f t="shared" si="5"/>
        <v>0</v>
      </c>
      <c r="U14" s="29">
        <f t="shared" si="6"/>
        <v>0</v>
      </c>
      <c r="V14" s="29">
        <f t="shared" si="7"/>
        <v>-616</v>
      </c>
      <c r="W14" s="29">
        <f t="shared" si="8"/>
        <v>-8866</v>
      </c>
      <c r="X14" s="29">
        <f t="shared" si="9"/>
        <v>250</v>
      </c>
      <c r="Y14" s="29">
        <f t="shared" si="10"/>
        <v>0</v>
      </c>
      <c r="Z14" s="29">
        <f t="shared" si="11"/>
        <v>-8616</v>
      </c>
      <c r="AA14" s="35">
        <v>0</v>
      </c>
      <c r="AB14" s="35">
        <v>2750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160">
        <f t="shared" si="12"/>
        <v>0.3166205098754626</v>
      </c>
      <c r="AJ14" s="160">
        <f aca="true" t="shared" si="14" ref="AJ14:AK33">(AO14-AS14)/AS14*100</f>
        <v>-2.4183981281951215</v>
      </c>
      <c r="AK14" s="160">
        <f t="shared" si="12"/>
        <v>-13.26481106577056</v>
      </c>
      <c r="AL14" s="160">
        <f t="shared" si="13"/>
        <v>-0.10627186319428834</v>
      </c>
      <c r="AM14" s="161"/>
      <c r="AN14" s="157">
        <f>'May 12(1)'!O13/'May 12 (4&amp;5)'!O14*100</f>
        <v>51.64339248853608</v>
      </c>
      <c r="AO14" s="157">
        <f>'May 12(1)'!P13/'May 12 (4&amp;5)'!P14*100</f>
        <v>35.70512129380054</v>
      </c>
      <c r="AP14" s="157">
        <f>'May 12(1)'!Q13/'May 12 (4&amp;5)'!Q14*100</f>
        <v>132.55394693121946</v>
      </c>
      <c r="AQ14" s="157">
        <f>'May 12(1)'!R13/'May 12 (4&amp;5)'!R14*100</f>
        <v>96.93874517291614</v>
      </c>
      <c r="AR14" s="157">
        <f>'May 12(1)'!C13/'May 12 (4&amp;5)'!C14*100</f>
        <v>51.48039499940307</v>
      </c>
      <c r="AS14" s="157">
        <f>'May 12(1)'!D13/'May 12 (4&amp;5)'!D14*100</f>
        <v>36.59001349527665</v>
      </c>
      <c r="AT14" s="157">
        <f>'May 12(1)'!E13/'May 12 (4&amp;5)'!E14*100</f>
        <v>152.826031233683</v>
      </c>
      <c r="AU14" s="157">
        <f>'May 12(1)'!F13/'May 12 (4&amp;5)'!F14*100</f>
        <v>108.46558498134175</v>
      </c>
      <c r="AV14" s="7"/>
      <c r="AW14" s="7"/>
      <c r="AX14" s="8"/>
      <c r="AY14" s="8"/>
      <c r="AZ14" s="8"/>
      <c r="BA14" s="8"/>
      <c r="BB14" s="8"/>
      <c r="BC14" s="8"/>
      <c r="BD14" s="8"/>
      <c r="BE14" s="8"/>
      <c r="BF14" s="8"/>
      <c r="BO14" s="4" t="s">
        <v>4</v>
      </c>
    </row>
    <row r="15" spans="1:58" ht="21" customHeight="1">
      <c r="A15" s="30">
        <v>9</v>
      </c>
      <c r="B15" s="31" t="s">
        <v>33</v>
      </c>
      <c r="C15" s="34">
        <v>368056</v>
      </c>
      <c r="D15" s="34">
        <v>192000</v>
      </c>
      <c r="E15" s="34">
        <v>1229485</v>
      </c>
      <c r="F15" s="32">
        <f t="shared" si="0"/>
        <v>1789541</v>
      </c>
      <c r="G15" s="177"/>
      <c r="H15" s="315"/>
      <c r="I15" s="315"/>
      <c r="J15" s="32">
        <f t="shared" si="1"/>
        <v>0</v>
      </c>
      <c r="K15" s="34">
        <v>368804</v>
      </c>
      <c r="L15" s="34">
        <v>192000</v>
      </c>
      <c r="M15" s="34">
        <v>1230932</v>
      </c>
      <c r="N15" s="32">
        <f t="shared" si="2"/>
        <v>1791736</v>
      </c>
      <c r="O15" s="34">
        <v>368556</v>
      </c>
      <c r="P15" s="34">
        <v>192000</v>
      </c>
      <c r="Q15" s="34">
        <v>1230932</v>
      </c>
      <c r="R15" s="34">
        <f t="shared" si="3"/>
        <v>1791488</v>
      </c>
      <c r="S15" s="34">
        <f t="shared" si="4"/>
        <v>-248</v>
      </c>
      <c r="T15" s="32">
        <f t="shared" si="5"/>
        <v>0</v>
      </c>
      <c r="U15" s="32">
        <f t="shared" si="6"/>
        <v>0</v>
      </c>
      <c r="V15" s="32">
        <f t="shared" si="7"/>
        <v>-248</v>
      </c>
      <c r="W15" s="32">
        <f t="shared" si="8"/>
        <v>500</v>
      </c>
      <c r="X15" s="32">
        <f t="shared" si="9"/>
        <v>0</v>
      </c>
      <c r="Y15" s="32">
        <f t="shared" si="10"/>
        <v>1447</v>
      </c>
      <c r="Z15" s="32">
        <f t="shared" si="11"/>
        <v>1947</v>
      </c>
      <c r="AA15" s="35">
        <v>0</v>
      </c>
      <c r="AB15" s="35">
        <v>1250</v>
      </c>
      <c r="AC15" s="231">
        <v>56713</v>
      </c>
      <c r="AD15" s="231">
        <v>0</v>
      </c>
      <c r="AE15" s="35">
        <v>0</v>
      </c>
      <c r="AF15" s="231">
        <v>0</v>
      </c>
      <c r="AG15" s="35">
        <v>0</v>
      </c>
      <c r="AH15" s="231">
        <v>0</v>
      </c>
      <c r="AI15" s="160">
        <f t="shared" si="12"/>
        <v>-0.31192255813894143</v>
      </c>
      <c r="AJ15" s="160">
        <f t="shared" si="14"/>
        <v>-0.2626386692974196</v>
      </c>
      <c r="AK15" s="160">
        <f t="shared" si="12"/>
        <v>4.281931703772603</v>
      </c>
      <c r="AL15" s="160">
        <f t="shared" si="13"/>
        <v>0.03259365262951253</v>
      </c>
      <c r="AM15" s="161"/>
      <c r="AN15" s="157">
        <f>'May 12(1)'!O14/'May 12 (4&amp;5)'!O15*100</f>
        <v>55.24506452208077</v>
      </c>
      <c r="AO15" s="157">
        <f>'May 12(1)'!P14/'May 12 (4&amp;5)'!P15*100</f>
        <v>39.75520833333333</v>
      </c>
      <c r="AP15" s="157">
        <f>'May 12(1)'!Q14/'May 12 (4&amp;5)'!Q15*100</f>
        <v>82.26490171674796</v>
      </c>
      <c r="AQ15" s="157">
        <f>'May 12(1)'!R14/'May 12 (4&amp;5)'!R15*100</f>
        <v>72.15030187196342</v>
      </c>
      <c r="AR15" s="157">
        <f>'May 12(1)'!C14/'May 12 (4&amp;5)'!C15*100</f>
        <v>55.417925533071056</v>
      </c>
      <c r="AS15" s="157">
        <f>'May 12(1)'!D14/'May 12 (4&amp;5)'!D15*100</f>
        <v>39.85989583333333</v>
      </c>
      <c r="AT15" s="157">
        <f>'May 12(1)'!E14/'May 12 (4&amp;5)'!E15*100</f>
        <v>78.88701366832454</v>
      </c>
      <c r="AU15" s="157">
        <f>'May 12(1)'!F14/'May 12 (4&amp;5)'!F15*100</f>
        <v>69.87288919337416</v>
      </c>
      <c r="AV15" s="7"/>
      <c r="AW15" s="7"/>
      <c r="AX15" s="8"/>
      <c r="AY15" s="8"/>
      <c r="AZ15" s="8"/>
      <c r="BA15" s="8"/>
      <c r="BB15" s="8"/>
      <c r="BC15" s="8"/>
      <c r="BD15" s="8"/>
      <c r="BE15" s="8"/>
      <c r="BF15" s="8"/>
    </row>
    <row r="16" spans="1:58" ht="21" customHeight="1">
      <c r="A16" s="24">
        <v>10</v>
      </c>
      <c r="B16" s="25" t="s">
        <v>6</v>
      </c>
      <c r="C16" s="35">
        <v>544259</v>
      </c>
      <c r="D16" s="35">
        <v>210250</v>
      </c>
      <c r="E16" s="35">
        <v>1689872</v>
      </c>
      <c r="F16" s="26">
        <f t="shared" si="0"/>
        <v>2444381</v>
      </c>
      <c r="G16" s="175"/>
      <c r="H16" s="313"/>
      <c r="I16" s="313"/>
      <c r="J16" s="26">
        <f t="shared" si="1"/>
        <v>0</v>
      </c>
      <c r="K16" s="35">
        <v>541759</v>
      </c>
      <c r="L16" s="35">
        <v>210250</v>
      </c>
      <c r="M16" s="35">
        <v>1690640</v>
      </c>
      <c r="N16" s="26">
        <f t="shared" si="2"/>
        <v>2442649</v>
      </c>
      <c r="O16" s="35">
        <v>541759</v>
      </c>
      <c r="P16" s="35">
        <v>210250</v>
      </c>
      <c r="Q16" s="35">
        <v>1693192</v>
      </c>
      <c r="R16" s="35">
        <f t="shared" si="3"/>
        <v>2445201</v>
      </c>
      <c r="S16" s="35">
        <f t="shared" si="4"/>
        <v>0</v>
      </c>
      <c r="T16" s="26">
        <f t="shared" si="5"/>
        <v>0</v>
      </c>
      <c r="U16" s="26">
        <f t="shared" si="6"/>
        <v>2552</v>
      </c>
      <c r="V16" s="26">
        <f t="shared" si="7"/>
        <v>2552</v>
      </c>
      <c r="W16" s="26">
        <f t="shared" si="8"/>
        <v>-2500</v>
      </c>
      <c r="X16" s="26">
        <f t="shared" si="9"/>
        <v>0</v>
      </c>
      <c r="Y16" s="26">
        <f t="shared" si="10"/>
        <v>3320</v>
      </c>
      <c r="Z16" s="35">
        <f t="shared" si="11"/>
        <v>820</v>
      </c>
      <c r="AA16" s="35">
        <v>0</v>
      </c>
      <c r="AB16" s="35">
        <v>1750</v>
      </c>
      <c r="AC16" s="35">
        <v>16482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160">
        <f t="shared" si="12"/>
        <v>-21.807908351677955</v>
      </c>
      <c r="AJ16" s="160">
        <f t="shared" si="14"/>
        <v>0</v>
      </c>
      <c r="AK16" s="160">
        <f t="shared" si="12"/>
        <v>0.16205727387496383</v>
      </c>
      <c r="AL16" s="160">
        <f t="shared" si="13"/>
        <v>-0.022213224631119417</v>
      </c>
      <c r="AM16" s="160"/>
      <c r="AN16" s="157">
        <f>'May 12(1)'!O15/'May 12 (4&amp;5)'!O16*100</f>
        <v>30.94401754285577</v>
      </c>
      <c r="AO16" s="157">
        <f>'May 12(1)'!P15/'May 12 (4&amp;5)'!P16*100</f>
        <v>48.858977407847796</v>
      </c>
      <c r="AP16" s="157">
        <f>'May 12(1)'!Q15/'May 12 (4&amp;5)'!Q16*100</f>
        <v>94.89390453061436</v>
      </c>
      <c r="AQ16" s="157">
        <f>'May 12(1)'!R15/'May 12 (4&amp;5)'!R16*100</f>
        <v>76.76685883900751</v>
      </c>
      <c r="AR16" s="157">
        <f>'May 12(1)'!C15/'May 12 (4&amp;5)'!C16*100</f>
        <v>39.57435706161956</v>
      </c>
      <c r="AS16" s="157">
        <f>'May 12(1)'!D15/'May 12 (4&amp;5)'!D16*100</f>
        <v>48.858977407847796</v>
      </c>
      <c r="AT16" s="157">
        <f>'May 12(1)'!E15/'May 12 (4&amp;5)'!E16*100</f>
        <v>94.74037086832612</v>
      </c>
      <c r="AU16" s="157">
        <f>'May 12(1)'!F15/'May 12 (4&amp;5)'!F16*100</f>
        <v>78.5108377131061</v>
      </c>
      <c r="AV16" s="7"/>
      <c r="AW16" s="7"/>
      <c r="AX16" s="8"/>
      <c r="AY16" s="8"/>
      <c r="AZ16" s="8"/>
      <c r="BA16" s="8"/>
      <c r="BB16" s="8"/>
      <c r="BC16" s="8"/>
      <c r="BD16" s="8"/>
      <c r="BE16" s="8"/>
      <c r="BF16" s="8"/>
    </row>
    <row r="17" spans="1:58" ht="21" customHeight="1">
      <c r="A17" s="27">
        <v>11</v>
      </c>
      <c r="B17" s="28" t="s">
        <v>34</v>
      </c>
      <c r="C17" s="33">
        <v>3328077</v>
      </c>
      <c r="D17" s="33">
        <v>568650</v>
      </c>
      <c r="E17" s="33">
        <v>5009775</v>
      </c>
      <c r="F17" s="29">
        <f t="shared" si="0"/>
        <v>8906502</v>
      </c>
      <c r="G17" s="176"/>
      <c r="H17" s="314"/>
      <c r="I17" s="314"/>
      <c r="J17" s="29">
        <f t="shared" si="1"/>
        <v>0</v>
      </c>
      <c r="K17" s="33">
        <v>3275481</v>
      </c>
      <c r="L17" s="33">
        <v>568650</v>
      </c>
      <c r="M17" s="33">
        <v>5015175</v>
      </c>
      <c r="N17" s="29">
        <f t="shared" si="2"/>
        <v>8859306</v>
      </c>
      <c r="O17" s="33">
        <v>3273617</v>
      </c>
      <c r="P17" s="33">
        <v>568400</v>
      </c>
      <c r="Q17" s="33">
        <v>5015837</v>
      </c>
      <c r="R17" s="33">
        <f t="shared" si="3"/>
        <v>8857854</v>
      </c>
      <c r="S17" s="33">
        <f t="shared" si="4"/>
        <v>-1864</v>
      </c>
      <c r="T17" s="29">
        <f t="shared" si="5"/>
        <v>-250</v>
      </c>
      <c r="U17" s="29">
        <f t="shared" si="6"/>
        <v>662</v>
      </c>
      <c r="V17" s="29">
        <f t="shared" si="7"/>
        <v>-1452</v>
      </c>
      <c r="W17" s="29">
        <f t="shared" si="8"/>
        <v>-54460</v>
      </c>
      <c r="X17" s="29">
        <f t="shared" si="9"/>
        <v>-250</v>
      </c>
      <c r="Y17" s="29">
        <f t="shared" si="10"/>
        <v>6062</v>
      </c>
      <c r="Z17" s="29">
        <f t="shared" si="11"/>
        <v>-48648</v>
      </c>
      <c r="AA17" s="35">
        <v>0</v>
      </c>
      <c r="AB17" s="35">
        <v>0</v>
      </c>
      <c r="AC17" s="35">
        <v>22948</v>
      </c>
      <c r="AD17" s="35">
        <v>6000</v>
      </c>
      <c r="AE17" s="35">
        <v>0</v>
      </c>
      <c r="AF17" s="35">
        <v>0</v>
      </c>
      <c r="AG17" s="35">
        <v>0</v>
      </c>
      <c r="AH17" s="35">
        <v>0</v>
      </c>
      <c r="AI17" s="160">
        <f t="shared" si="12"/>
        <v>-9.609798086964535</v>
      </c>
      <c r="AJ17" s="160">
        <f t="shared" si="14"/>
        <v>-1.7587856015746355</v>
      </c>
      <c r="AK17" s="160">
        <f t="shared" si="12"/>
        <v>0.6499360537064884</v>
      </c>
      <c r="AL17" s="160">
        <f t="shared" si="13"/>
        <v>-0.014175077029912699</v>
      </c>
      <c r="AM17" s="161"/>
      <c r="AN17" s="157">
        <f>'May 12(1)'!O16/'May 12 (4&amp;5)'!O17*100</f>
        <v>53.321570605235735</v>
      </c>
      <c r="AO17" s="157">
        <f>'May 12(1)'!P16/'May 12 (4&amp;5)'!P17*100</f>
        <v>62.49049964813511</v>
      </c>
      <c r="AP17" s="157">
        <f>'May 12(1)'!Q16/'May 12 (4&amp;5)'!Q17*100</f>
        <v>131.65389943891716</v>
      </c>
      <c r="AQ17" s="157">
        <f>'May 12(1)'!R16/'May 12 (4&amp;5)'!R17*100</f>
        <v>98.26629565129433</v>
      </c>
      <c r="AR17" s="157">
        <f>'May 12(1)'!C16/'May 12 (4&amp;5)'!C17*100</f>
        <v>58.9904320122401</v>
      </c>
      <c r="AS17" s="157">
        <f>'May 12(1)'!D16/'May 12 (4&amp;5)'!D17*100</f>
        <v>63.60924997801811</v>
      </c>
      <c r="AT17" s="157">
        <f>'May 12(1)'!E16/'May 12 (4&amp;5)'!E17*100</f>
        <v>130.80375865183566</v>
      </c>
      <c r="AU17" s="157">
        <f>'May 12(1)'!F16/'May 12 (4&amp;5)'!F17*100</f>
        <v>99.67925679464284</v>
      </c>
      <c r="AV17" s="7"/>
      <c r="AW17" s="7"/>
      <c r="AX17" s="8"/>
      <c r="AY17" s="8"/>
      <c r="AZ17" s="8"/>
      <c r="BA17" s="8"/>
      <c r="BB17" s="8"/>
      <c r="BC17" s="8"/>
      <c r="BD17" s="8"/>
      <c r="BE17" s="8"/>
      <c r="BF17" s="8"/>
    </row>
    <row r="18" spans="1:58" ht="21" customHeight="1">
      <c r="A18" s="30">
        <v>12</v>
      </c>
      <c r="B18" s="31" t="s">
        <v>35</v>
      </c>
      <c r="C18" s="34">
        <v>3923131</v>
      </c>
      <c r="D18" s="34">
        <v>926500</v>
      </c>
      <c r="E18" s="34">
        <v>5301690</v>
      </c>
      <c r="F18" s="32">
        <f t="shared" si="0"/>
        <v>10151321</v>
      </c>
      <c r="G18" s="177"/>
      <c r="H18" s="315"/>
      <c r="I18" s="315"/>
      <c r="J18" s="32">
        <f t="shared" si="1"/>
        <v>0</v>
      </c>
      <c r="K18" s="34">
        <v>3923173</v>
      </c>
      <c r="L18" s="34">
        <v>926500</v>
      </c>
      <c r="M18" s="34">
        <v>5304943</v>
      </c>
      <c r="N18" s="32">
        <f t="shared" si="2"/>
        <v>10154616</v>
      </c>
      <c r="O18" s="34">
        <v>3886073</v>
      </c>
      <c r="P18" s="34">
        <v>926500</v>
      </c>
      <c r="Q18" s="34">
        <v>5310315</v>
      </c>
      <c r="R18" s="34">
        <f t="shared" si="3"/>
        <v>10122888</v>
      </c>
      <c r="S18" s="32">
        <f t="shared" si="4"/>
        <v>-37100</v>
      </c>
      <c r="T18" s="32">
        <f t="shared" si="5"/>
        <v>0</v>
      </c>
      <c r="U18" s="32">
        <f t="shared" si="6"/>
        <v>5372</v>
      </c>
      <c r="V18" s="32">
        <f t="shared" si="7"/>
        <v>-31728</v>
      </c>
      <c r="W18" s="32">
        <f t="shared" si="8"/>
        <v>-37058</v>
      </c>
      <c r="X18" s="32">
        <f t="shared" si="9"/>
        <v>0</v>
      </c>
      <c r="Y18" s="32">
        <f t="shared" si="10"/>
        <v>8625</v>
      </c>
      <c r="Z18" s="34">
        <f t="shared" si="11"/>
        <v>-28433</v>
      </c>
      <c r="AA18" s="35">
        <v>50500</v>
      </c>
      <c r="AB18" s="35">
        <v>2000</v>
      </c>
      <c r="AC18" s="35">
        <v>29884</v>
      </c>
      <c r="AD18" s="35">
        <v>30247</v>
      </c>
      <c r="AE18" s="35">
        <v>0</v>
      </c>
      <c r="AF18" s="35">
        <v>0</v>
      </c>
      <c r="AG18" s="35">
        <v>0</v>
      </c>
      <c r="AH18" s="35">
        <v>230695</v>
      </c>
      <c r="AI18" s="160">
        <f t="shared" si="12"/>
        <v>0.47110280750832007</v>
      </c>
      <c r="AJ18" s="160">
        <f t="shared" si="14"/>
        <v>-2.814308493106763</v>
      </c>
      <c r="AK18" s="160">
        <f t="shared" si="12"/>
        <v>2.185748622803982</v>
      </c>
      <c r="AL18" s="160">
        <f t="shared" si="13"/>
        <v>0.01613321404448611</v>
      </c>
      <c r="AM18" s="161"/>
      <c r="AN18" s="157">
        <f>'May 12(1)'!O17/'May 12 (4&amp;5)'!O18*100</f>
        <v>78.50426381593964</v>
      </c>
      <c r="AO18" s="157">
        <f>'May 12(1)'!P17/'May 12 (4&amp;5)'!P18*100</f>
        <v>35.32660550458716</v>
      </c>
      <c r="AP18" s="157">
        <f>'May 12(1)'!Q17/'May 12 (4&amp;5)'!Q18*100</f>
        <v>130.5955296437217</v>
      </c>
      <c r="AQ18" s="157">
        <f>'May 12(1)'!R17/'May 12 (4&amp;5)'!R18*100</f>
        <v>101.87871287324329</v>
      </c>
      <c r="AR18" s="157">
        <f>'May 12(1)'!C17/'May 12 (4&amp;5)'!C18*100</f>
        <v>78.13616216231372</v>
      </c>
      <c r="AS18" s="157">
        <f>'May 12(1)'!D17/'May 12 (4&amp;5)'!D18*100</f>
        <v>36.34959525094442</v>
      </c>
      <c r="AT18" s="157">
        <f>'May 12(1)'!E17/'May 12 (4&amp;5)'!E18*100</f>
        <v>127.80209706716161</v>
      </c>
      <c r="AU18" s="157">
        <f>'May 12(1)'!F17/'May 12 (4&amp;5)'!F18*100</f>
        <v>100.26117783094438</v>
      </c>
      <c r="AV18" s="7"/>
      <c r="AW18" s="7"/>
      <c r="AX18" s="8"/>
      <c r="AY18" s="8"/>
      <c r="AZ18" s="8"/>
      <c r="BA18" s="8"/>
      <c r="BB18" s="8"/>
      <c r="BC18" s="8"/>
      <c r="BD18" s="8"/>
      <c r="BE18" s="8"/>
      <c r="BF18" s="8"/>
    </row>
    <row r="19" spans="1:58" ht="21" customHeight="1">
      <c r="A19" s="24">
        <v>13</v>
      </c>
      <c r="B19" s="25" t="s">
        <v>68</v>
      </c>
      <c r="C19" s="35">
        <v>1519828</v>
      </c>
      <c r="D19" s="35">
        <v>671250</v>
      </c>
      <c r="E19" s="35">
        <v>3101320</v>
      </c>
      <c r="F19" s="26">
        <f t="shared" si="0"/>
        <v>5292398</v>
      </c>
      <c r="G19" s="175"/>
      <c r="H19" s="313"/>
      <c r="I19" s="313"/>
      <c r="J19" s="26">
        <f t="shared" si="1"/>
        <v>0</v>
      </c>
      <c r="K19" s="35">
        <v>1518286</v>
      </c>
      <c r="L19" s="35">
        <v>671250</v>
      </c>
      <c r="M19" s="35">
        <v>3103820</v>
      </c>
      <c r="N19" s="26">
        <f t="shared" si="2"/>
        <v>5293356</v>
      </c>
      <c r="O19" s="35">
        <v>1517894</v>
      </c>
      <c r="P19" s="35">
        <v>671250</v>
      </c>
      <c r="Q19" s="35">
        <v>3112110</v>
      </c>
      <c r="R19" s="35">
        <f t="shared" si="3"/>
        <v>5301254</v>
      </c>
      <c r="S19" s="26">
        <f t="shared" si="4"/>
        <v>-392</v>
      </c>
      <c r="T19" s="26">
        <f t="shared" si="5"/>
        <v>0</v>
      </c>
      <c r="U19" s="26">
        <f t="shared" si="6"/>
        <v>8290</v>
      </c>
      <c r="V19" s="26">
        <f t="shared" si="7"/>
        <v>7898</v>
      </c>
      <c r="W19" s="26">
        <f t="shared" si="8"/>
        <v>-1934</v>
      </c>
      <c r="X19" s="26">
        <f t="shared" si="9"/>
        <v>0</v>
      </c>
      <c r="Y19" s="26">
        <f t="shared" si="10"/>
        <v>10790</v>
      </c>
      <c r="Z19" s="26">
        <f t="shared" si="11"/>
        <v>8856</v>
      </c>
      <c r="AA19" s="35">
        <v>0</v>
      </c>
      <c r="AB19" s="35">
        <v>7500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160">
        <f t="shared" si="12"/>
        <v>-0.9752591171408663</v>
      </c>
      <c r="AJ19" s="160">
        <f t="shared" si="14"/>
        <v>0.09156121756658618</v>
      </c>
      <c r="AK19" s="160">
        <f t="shared" si="12"/>
        <v>-2.3956373874937102</v>
      </c>
      <c r="AL19" s="160">
        <f t="shared" si="13"/>
        <v>-0.019714649575256704</v>
      </c>
      <c r="AM19" s="160"/>
      <c r="AN19" s="157">
        <f>'May 12(1)'!O18/'May 12 (4&amp;5)'!O19*100</f>
        <v>45.86374279099858</v>
      </c>
      <c r="AO19" s="157">
        <f>'May 12(1)'!P18/'May 12 (4&amp;5)'!P19*100</f>
        <v>22.636871508379887</v>
      </c>
      <c r="AP19" s="157">
        <f>'May 12(1)'!Q18/'May 12 (4&amp;5)'!Q19*100</f>
        <v>99.41383819980656</v>
      </c>
      <c r="AQ19" s="157">
        <f>'May 12(1)'!R18/'May 12 (4&amp;5)'!R19*100</f>
        <v>74.35940628387169</v>
      </c>
      <c r="AR19" s="157">
        <f>'May 12(1)'!C18/'May 12 (4&amp;5)'!C19*100</f>
        <v>46.31543832591583</v>
      </c>
      <c r="AS19" s="157">
        <f>'May 12(1)'!D18/'May 12 (4&amp;5)'!D19*100</f>
        <v>22.616163873370574</v>
      </c>
      <c r="AT19" s="157">
        <f>'May 12(1)'!E18/'May 12 (4&amp;5)'!E19*100</f>
        <v>101.85388802187457</v>
      </c>
      <c r="AU19" s="157">
        <f>'May 12(1)'!F18/'May 12 (4&amp;5)'!F19*100</f>
        <v>75.85485823250633</v>
      </c>
      <c r="AV19" s="7"/>
      <c r="AW19" s="7"/>
      <c r="AX19" s="8"/>
      <c r="AY19" s="8"/>
      <c r="AZ19" s="8"/>
      <c r="BA19" s="8"/>
      <c r="BB19" s="8"/>
      <c r="BC19" s="8"/>
      <c r="BD19" s="8"/>
      <c r="BE19" s="8"/>
      <c r="BF19" s="8"/>
    </row>
    <row r="20" spans="1:58" ht="21" customHeight="1">
      <c r="A20" s="27">
        <v>14</v>
      </c>
      <c r="B20" s="28" t="s">
        <v>36</v>
      </c>
      <c r="C20" s="344">
        <v>4635924</v>
      </c>
      <c r="D20" s="344">
        <v>792500</v>
      </c>
      <c r="E20" s="335">
        <v>5688045</v>
      </c>
      <c r="F20" s="29">
        <f t="shared" si="0"/>
        <v>11116469</v>
      </c>
      <c r="G20" s="176"/>
      <c r="H20" s="314"/>
      <c r="I20" s="314"/>
      <c r="J20" s="29">
        <f t="shared" si="1"/>
        <v>0</v>
      </c>
      <c r="K20" s="344">
        <v>4614245</v>
      </c>
      <c r="L20" s="344">
        <v>775750</v>
      </c>
      <c r="M20" s="335">
        <v>5690819</v>
      </c>
      <c r="N20" s="29">
        <f t="shared" si="2"/>
        <v>11080814</v>
      </c>
      <c r="O20" s="344">
        <v>4570333</v>
      </c>
      <c r="P20" s="344">
        <v>778500</v>
      </c>
      <c r="Q20" s="335">
        <v>5694291</v>
      </c>
      <c r="R20" s="33">
        <f t="shared" si="3"/>
        <v>11043124</v>
      </c>
      <c r="S20" s="29">
        <f t="shared" si="4"/>
        <v>-43912</v>
      </c>
      <c r="T20" s="368">
        <f>P20-L20</f>
        <v>2750</v>
      </c>
      <c r="U20" s="29">
        <f t="shared" si="6"/>
        <v>3472</v>
      </c>
      <c r="V20" s="29">
        <f t="shared" si="7"/>
        <v>-37690</v>
      </c>
      <c r="W20" s="29">
        <f t="shared" si="8"/>
        <v>-65591</v>
      </c>
      <c r="X20" s="29">
        <f t="shared" si="9"/>
        <v>-14000</v>
      </c>
      <c r="Y20" s="29">
        <f t="shared" si="10"/>
        <v>6246</v>
      </c>
      <c r="Z20" s="29">
        <f t="shared" si="11"/>
        <v>-73345</v>
      </c>
      <c r="AA20" s="35">
        <v>0</v>
      </c>
      <c r="AB20" s="35">
        <v>750</v>
      </c>
      <c r="AC20" s="35">
        <v>20887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160">
        <f t="shared" si="12"/>
        <v>0.790046215891102</v>
      </c>
      <c r="AJ20" s="160">
        <f t="shared" si="14"/>
        <v>-2.932799196215849</v>
      </c>
      <c r="AK20" s="160">
        <f t="shared" si="12"/>
        <v>-4.415560144978463</v>
      </c>
      <c r="AL20" s="160">
        <f t="shared" si="13"/>
        <v>-0.02704544115528319</v>
      </c>
      <c r="AM20" s="161"/>
      <c r="AN20" s="157">
        <f>'May 12(1)'!O19/'May 12 (4&amp;5)'!O20*100</f>
        <v>48.70410974430091</v>
      </c>
      <c r="AO20" s="157">
        <f>'May 12(1)'!P19/'May 12 (4&amp;5)'!P20*100</f>
        <v>25.236737315350034</v>
      </c>
      <c r="AP20" s="157">
        <f>'May 12(1)'!Q19/'May 12 (4&amp;5)'!Q20*100</f>
        <v>101.16311231723141</v>
      </c>
      <c r="AQ20" s="157">
        <f>'May 12(1)'!R19/'May 12 (4&amp;5)'!R20*100</f>
        <v>74.0997746652125</v>
      </c>
      <c r="AR20" s="157">
        <f>'May 12(1)'!C19/'May 12 (4&amp;5)'!C20*100</f>
        <v>48.32234091844474</v>
      </c>
      <c r="AS20" s="157">
        <f>'May 12(1)'!D19/'May 12 (4&amp;5)'!D20*100</f>
        <v>25.999242902208202</v>
      </c>
      <c r="AT20" s="157">
        <f>'May 12(1)'!E19/'May 12 (4&amp;5)'!E20*100</f>
        <v>105.83638139290387</v>
      </c>
      <c r="AU20" s="157">
        <f>'May 12(1)'!F19/'May 12 (4&amp;5)'!F20*100</f>
        <v>76.1595431067185</v>
      </c>
      <c r="AV20" s="7"/>
      <c r="AW20" s="7"/>
      <c r="AX20" s="8"/>
      <c r="AY20" s="8"/>
      <c r="AZ20" s="8"/>
      <c r="BA20" s="8"/>
      <c r="BB20" s="8"/>
      <c r="BC20" s="8"/>
      <c r="BD20" s="8"/>
      <c r="BE20" s="8"/>
      <c r="BF20" s="8"/>
    </row>
    <row r="21" spans="1:58" ht="21" customHeight="1">
      <c r="A21" s="30">
        <v>15</v>
      </c>
      <c r="B21" s="31" t="s">
        <v>13</v>
      </c>
      <c r="C21" s="34">
        <v>255108</v>
      </c>
      <c r="D21" s="34">
        <v>100700</v>
      </c>
      <c r="E21" s="34">
        <v>600702</v>
      </c>
      <c r="F21" s="32">
        <f t="shared" si="0"/>
        <v>956510</v>
      </c>
      <c r="G21" s="177"/>
      <c r="H21" s="315"/>
      <c r="I21" s="315"/>
      <c r="J21" s="32">
        <f t="shared" si="1"/>
        <v>0</v>
      </c>
      <c r="K21" s="34">
        <v>255108</v>
      </c>
      <c r="L21" s="34">
        <v>100700</v>
      </c>
      <c r="M21" s="34">
        <v>601702</v>
      </c>
      <c r="N21" s="32">
        <f t="shared" si="2"/>
        <v>957510</v>
      </c>
      <c r="O21" s="34">
        <v>255108</v>
      </c>
      <c r="P21" s="34">
        <v>100700</v>
      </c>
      <c r="Q21" s="34">
        <v>602202</v>
      </c>
      <c r="R21" s="34">
        <f t="shared" si="3"/>
        <v>958010</v>
      </c>
      <c r="S21" s="32">
        <f t="shared" si="4"/>
        <v>0</v>
      </c>
      <c r="T21" s="32">
        <f t="shared" si="5"/>
        <v>0</v>
      </c>
      <c r="U21" s="32">
        <f t="shared" si="6"/>
        <v>500</v>
      </c>
      <c r="V21" s="32">
        <f t="shared" si="7"/>
        <v>500</v>
      </c>
      <c r="W21" s="32">
        <f t="shared" si="8"/>
        <v>0</v>
      </c>
      <c r="X21" s="32">
        <f t="shared" si="9"/>
        <v>0</v>
      </c>
      <c r="Y21" s="32">
        <f t="shared" si="10"/>
        <v>1500</v>
      </c>
      <c r="Z21" s="34">
        <f t="shared" si="11"/>
        <v>1500</v>
      </c>
      <c r="AA21" s="35">
        <v>0</v>
      </c>
      <c r="AB21" s="35">
        <v>3500</v>
      </c>
      <c r="AC21" s="35">
        <v>1635</v>
      </c>
      <c r="AD21" s="35">
        <v>31900</v>
      </c>
      <c r="AE21" s="35">
        <v>0</v>
      </c>
      <c r="AF21" s="35">
        <v>0</v>
      </c>
      <c r="AG21" s="35">
        <v>0</v>
      </c>
      <c r="AH21" s="35">
        <v>0</v>
      </c>
      <c r="AI21" s="160">
        <f t="shared" si="12"/>
        <v>-0.3921707680306231</v>
      </c>
      <c r="AJ21" s="160">
        <f t="shared" si="14"/>
        <v>0.4485014774166225</v>
      </c>
      <c r="AK21" s="160">
        <f t="shared" si="12"/>
        <v>3.598604537314195</v>
      </c>
      <c r="AL21" s="160">
        <f t="shared" si="13"/>
        <v>0.027931795036177532</v>
      </c>
      <c r="AM21" s="161"/>
      <c r="AN21" s="157">
        <f>'May 12(1)'!O20/'May 12 (4&amp;5)'!O21*100</f>
        <v>55.05785784844066</v>
      </c>
      <c r="AO21" s="157">
        <f>'May 12(1)'!P20/'May 12 (4&amp;5)'!P21*100</f>
        <v>75.61866931479642</v>
      </c>
      <c r="AP21" s="157">
        <f>'May 12(1)'!Q20/'May 12 (4&amp;5)'!Q21*100</f>
        <v>126.41954028714618</v>
      </c>
      <c r="AQ21" s="157">
        <f>'May 12(1)'!R20/'May 12 (4&amp;5)'!R21*100</f>
        <v>102.07680504378868</v>
      </c>
      <c r="AR21" s="157">
        <f>'May 12(1)'!C20/'May 12 (4&amp;5)'!C21*100</f>
        <v>55.274628784671584</v>
      </c>
      <c r="AS21" s="157">
        <f>'May 12(1)'!D20/'May 12 (4&amp;5)'!D21*100</f>
        <v>75.28103277060576</v>
      </c>
      <c r="AT21" s="157">
        <f>'May 12(1)'!E20/'May 12 (4&amp;5)'!E21*100</f>
        <v>122.02822697443992</v>
      </c>
      <c r="AU21" s="157">
        <f>'May 12(1)'!F20/'May 12 (4&amp;5)'!F21*100</f>
        <v>99.3030914470314</v>
      </c>
      <c r="AV21" s="7"/>
      <c r="AW21" s="7"/>
      <c r="AX21" s="8"/>
      <c r="AY21" s="8"/>
      <c r="AZ21" s="8"/>
      <c r="BA21" s="8"/>
      <c r="BB21" s="8"/>
      <c r="BC21" s="8"/>
      <c r="BD21" s="8"/>
      <c r="BE21" s="8"/>
      <c r="BF21" s="8"/>
    </row>
    <row r="22" spans="1:58" ht="21" customHeight="1">
      <c r="A22" s="27">
        <v>16</v>
      </c>
      <c r="B22" s="45" t="s">
        <v>12</v>
      </c>
      <c r="C22" s="33">
        <v>205146</v>
      </c>
      <c r="D22" s="33">
        <v>115500</v>
      </c>
      <c r="E22" s="33">
        <v>584027</v>
      </c>
      <c r="F22" s="26">
        <f t="shared" si="0"/>
        <v>904673</v>
      </c>
      <c r="G22" s="175"/>
      <c r="H22" s="313"/>
      <c r="I22" s="313"/>
      <c r="J22" s="26">
        <f t="shared" si="1"/>
        <v>0</v>
      </c>
      <c r="K22" s="33">
        <v>204648</v>
      </c>
      <c r="L22" s="33">
        <v>115500</v>
      </c>
      <c r="M22" s="33">
        <v>585218</v>
      </c>
      <c r="N22" s="26">
        <f t="shared" si="2"/>
        <v>905366</v>
      </c>
      <c r="O22" s="33">
        <v>204648</v>
      </c>
      <c r="P22" s="33">
        <v>115500</v>
      </c>
      <c r="Q22" s="33">
        <v>585218</v>
      </c>
      <c r="R22" s="35">
        <f t="shared" si="3"/>
        <v>905366</v>
      </c>
      <c r="S22" s="26">
        <f t="shared" si="4"/>
        <v>0</v>
      </c>
      <c r="T22" s="26">
        <f t="shared" si="5"/>
        <v>0</v>
      </c>
      <c r="U22" s="26">
        <f t="shared" si="6"/>
        <v>0</v>
      </c>
      <c r="V22" s="26">
        <f t="shared" si="7"/>
        <v>0</v>
      </c>
      <c r="W22" s="26">
        <f t="shared" si="8"/>
        <v>-498</v>
      </c>
      <c r="X22" s="26">
        <f t="shared" si="9"/>
        <v>0</v>
      </c>
      <c r="Y22" s="26">
        <f t="shared" si="10"/>
        <v>1191</v>
      </c>
      <c r="Z22" s="26">
        <f t="shared" si="11"/>
        <v>693</v>
      </c>
      <c r="AA22" s="35">
        <v>0</v>
      </c>
      <c r="AB22" s="35">
        <v>0</v>
      </c>
      <c r="AC22" s="35">
        <v>1237</v>
      </c>
      <c r="AD22" s="231">
        <v>0</v>
      </c>
      <c r="AE22" s="231">
        <v>0</v>
      </c>
      <c r="AF22" s="231">
        <v>0</v>
      </c>
      <c r="AG22" s="231">
        <v>0</v>
      </c>
      <c r="AH22" s="231">
        <v>0</v>
      </c>
      <c r="AI22" s="160">
        <f>(AN22-AR22)/AR22*100</f>
        <v>0.443616653211745</v>
      </c>
      <c r="AJ22" s="160">
        <f t="shared" si="14"/>
        <v>1.2975543478260696</v>
      </c>
      <c r="AK22" s="160">
        <f t="shared" si="12"/>
        <v>1.4142216820765796</v>
      </c>
      <c r="AL22" s="160">
        <f t="shared" si="13"/>
        <v>0.013455686484652984</v>
      </c>
      <c r="AM22" s="160"/>
      <c r="AN22" s="157">
        <f>'May 12(1)'!O21/'May 12 (4&amp;5)'!O22*100</f>
        <v>54.40610218521559</v>
      </c>
      <c r="AO22" s="157">
        <f>'May 12(1)'!P21/'May 12 (4&amp;5)'!P22*100</f>
        <v>64.54978354978354</v>
      </c>
      <c r="AP22" s="157">
        <f>'May 12(1)'!Q21/'May 12 (4&amp;5)'!Q22*100</f>
        <v>127.44156878291508</v>
      </c>
      <c r="AQ22" s="157">
        <f>'May 12(1)'!R21/'May 12 (4&amp;5)'!R22*100</f>
        <v>102.90943110300144</v>
      </c>
      <c r="AR22" s="157">
        <f>'May 12(1)'!C21/'May 12 (4&amp;5)'!C22*100</f>
        <v>54.165813615668846</v>
      </c>
      <c r="AS22" s="157">
        <f>'May 12(1)'!D21/'May 12 (4&amp;5)'!D22*100</f>
        <v>63.722943722943725</v>
      </c>
      <c r="AT22" s="157">
        <f>'May 12(1)'!E21/'May 12 (4&amp;5)'!E22*100</f>
        <v>125.6643956529407</v>
      </c>
      <c r="AU22" s="157">
        <f>'May 12(1)'!F21/'May 12 (4&amp;5)'!F22*100</f>
        <v>101.54309899820156</v>
      </c>
      <c r="AV22" s="7"/>
      <c r="AW22" s="7"/>
      <c r="AX22" s="8"/>
      <c r="AY22" s="8"/>
      <c r="AZ22" s="8"/>
      <c r="BA22" s="8"/>
      <c r="BB22" s="8"/>
      <c r="BC22" s="8"/>
      <c r="BD22" s="8"/>
      <c r="BE22" s="8"/>
      <c r="BF22" s="8"/>
    </row>
    <row r="23" spans="1:58" ht="21" customHeight="1">
      <c r="A23" s="27">
        <v>17</v>
      </c>
      <c r="B23" s="28" t="s">
        <v>69</v>
      </c>
      <c r="C23" s="33">
        <v>845160</v>
      </c>
      <c r="D23" s="33">
        <v>256750</v>
      </c>
      <c r="E23" s="33">
        <v>2141500</v>
      </c>
      <c r="F23" s="29">
        <f t="shared" si="0"/>
        <v>3243410</v>
      </c>
      <c r="G23" s="176"/>
      <c r="H23" s="314"/>
      <c r="I23" s="314"/>
      <c r="J23" s="29">
        <f t="shared" si="1"/>
        <v>0</v>
      </c>
      <c r="K23" s="33">
        <v>843704</v>
      </c>
      <c r="L23" s="33">
        <v>256750</v>
      </c>
      <c r="M23" s="33">
        <v>2141500</v>
      </c>
      <c r="N23" s="29">
        <f t="shared" si="2"/>
        <v>3241954</v>
      </c>
      <c r="O23" s="33">
        <v>843704</v>
      </c>
      <c r="P23" s="33">
        <v>256750</v>
      </c>
      <c r="Q23" s="33">
        <v>2141500</v>
      </c>
      <c r="R23" s="33">
        <f t="shared" si="3"/>
        <v>3241954</v>
      </c>
      <c r="S23" s="29">
        <f t="shared" si="4"/>
        <v>0</v>
      </c>
      <c r="T23" s="29">
        <f t="shared" si="5"/>
        <v>0</v>
      </c>
      <c r="U23" s="29">
        <f t="shared" si="6"/>
        <v>0</v>
      </c>
      <c r="V23" s="29">
        <f t="shared" si="7"/>
        <v>0</v>
      </c>
      <c r="W23" s="29">
        <f t="shared" si="8"/>
        <v>-1456</v>
      </c>
      <c r="X23" s="33">
        <f t="shared" si="9"/>
        <v>0</v>
      </c>
      <c r="Y23" s="33">
        <f t="shared" si="10"/>
        <v>0</v>
      </c>
      <c r="Z23" s="33">
        <f t="shared" si="11"/>
        <v>-1456</v>
      </c>
      <c r="AA23" s="35">
        <v>0</v>
      </c>
      <c r="AB23" s="35">
        <v>0</v>
      </c>
      <c r="AC23" s="35">
        <v>3864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157">
        <f aca="true" t="shared" si="15" ref="AI23:AI33">(AN23-AR23)/AR23*100</f>
        <v>-14.653181340558513</v>
      </c>
      <c r="AJ23" s="160">
        <f t="shared" si="14"/>
        <v>0.2416737634358961</v>
      </c>
      <c r="AK23" s="160">
        <f t="shared" si="14"/>
        <v>0.36316663317317466</v>
      </c>
      <c r="AL23" s="160">
        <f t="shared" si="13"/>
        <v>-0.009938726177042877</v>
      </c>
      <c r="AM23" s="161"/>
      <c r="AN23" s="157">
        <f>'May 12(1)'!O22/'May 12 (4&amp;5)'!O23*100</f>
        <v>45.591818931758056</v>
      </c>
      <c r="AO23" s="157">
        <f>'May 12(1)'!P22/'May 12 (4&amp;5)'!P23*100</f>
        <v>50.88841285296981</v>
      </c>
      <c r="AP23" s="157">
        <f>'May 12(1)'!Q22/'May 12 (4&amp;5)'!Q23*100</f>
        <v>202.19196824655614</v>
      </c>
      <c r="AQ23" s="157">
        <f>'May 12(1)'!R22/'May 12 (4&amp;5)'!R23*100</f>
        <v>149.454834954475</v>
      </c>
      <c r="AR23" s="157">
        <f>'May 12(1)'!C22/'May 12 (4&amp;5)'!C23*100</f>
        <v>53.41947086942117</v>
      </c>
      <c r="AS23" s="157">
        <f>'May 12(1)'!D22/'May 12 (4&amp;5)'!D23*100</f>
        <v>50.76572541382668</v>
      </c>
      <c r="AT23" s="157">
        <f>'May 12(1)'!E22/'May 12 (4&amp;5)'!E23*100</f>
        <v>201.4603315433108</v>
      </c>
      <c r="AU23" s="157">
        <f>'May 12(1)'!F22/'May 12 (4&amp;5)'!F23*100</f>
        <v>150.9551367233868</v>
      </c>
      <c r="AV23" s="7"/>
      <c r="AW23" s="7"/>
      <c r="AX23" s="8"/>
      <c r="AY23" s="8"/>
      <c r="AZ23" s="8"/>
      <c r="BA23" s="8"/>
      <c r="BB23" s="8"/>
      <c r="BC23" s="8"/>
      <c r="BD23" s="8"/>
      <c r="BE23" s="8"/>
      <c r="BF23" s="8"/>
    </row>
    <row r="24" spans="1:58" ht="21" customHeight="1">
      <c r="A24" s="30">
        <v>18</v>
      </c>
      <c r="B24" s="31" t="s">
        <v>37</v>
      </c>
      <c r="C24" s="34">
        <v>2294106</v>
      </c>
      <c r="D24" s="34">
        <v>252400</v>
      </c>
      <c r="E24" s="34">
        <v>3235186</v>
      </c>
      <c r="F24" s="32">
        <f t="shared" si="0"/>
        <v>5781692</v>
      </c>
      <c r="G24" s="177"/>
      <c r="H24" s="315"/>
      <c r="I24" s="315"/>
      <c r="J24" s="32">
        <f t="shared" si="1"/>
        <v>0</v>
      </c>
      <c r="K24" s="34">
        <v>2266042</v>
      </c>
      <c r="L24" s="34">
        <v>252400</v>
      </c>
      <c r="M24" s="34">
        <v>3237281</v>
      </c>
      <c r="N24" s="32">
        <f t="shared" si="2"/>
        <v>5755723</v>
      </c>
      <c r="O24" s="34">
        <v>2265554</v>
      </c>
      <c r="P24" s="34">
        <v>252400</v>
      </c>
      <c r="Q24" s="34">
        <v>3237741</v>
      </c>
      <c r="R24" s="34">
        <f t="shared" si="3"/>
        <v>5755695</v>
      </c>
      <c r="S24" s="32">
        <f t="shared" si="4"/>
        <v>-488</v>
      </c>
      <c r="T24" s="32">
        <f t="shared" si="5"/>
        <v>0</v>
      </c>
      <c r="U24" s="32">
        <f t="shared" si="6"/>
        <v>460</v>
      </c>
      <c r="V24" s="32">
        <f t="shared" si="7"/>
        <v>-28</v>
      </c>
      <c r="W24" s="32">
        <f t="shared" si="8"/>
        <v>-28552</v>
      </c>
      <c r="X24" s="32">
        <f t="shared" si="9"/>
        <v>0</v>
      </c>
      <c r="Y24" s="34">
        <f t="shared" si="10"/>
        <v>2555</v>
      </c>
      <c r="Z24" s="34">
        <f t="shared" si="11"/>
        <v>-25997</v>
      </c>
      <c r="AA24" s="35">
        <v>7156</v>
      </c>
      <c r="AB24" s="35">
        <v>0</v>
      </c>
      <c r="AC24" s="35">
        <v>0</v>
      </c>
      <c r="AD24" s="35">
        <v>24515</v>
      </c>
      <c r="AE24" s="35">
        <v>0</v>
      </c>
      <c r="AF24" s="35">
        <v>0</v>
      </c>
      <c r="AG24" s="35">
        <v>0</v>
      </c>
      <c r="AH24" s="35">
        <v>0</v>
      </c>
      <c r="AI24" s="157">
        <f t="shared" si="15"/>
        <v>0.7478869002991447</v>
      </c>
      <c r="AJ24" s="160">
        <f t="shared" si="14"/>
        <v>-3.0911091318698496</v>
      </c>
      <c r="AK24" s="160">
        <f t="shared" si="14"/>
        <v>-8.02496928557213</v>
      </c>
      <c r="AL24" s="160">
        <f t="shared" si="13"/>
        <v>-0.060770322469376685</v>
      </c>
      <c r="AM24" s="161"/>
      <c r="AN24" s="157">
        <f>'May 12(1)'!O23/'May 12 (4&amp;5)'!O24*100</f>
        <v>47.8647606722241</v>
      </c>
      <c r="AO24" s="157">
        <f>'May 12(1)'!P23/'May 12 (4&amp;5)'!P24*100</f>
        <v>21.985340729001585</v>
      </c>
      <c r="AP24" s="157">
        <f>'May 12(1)'!Q23/'May 12 (4&amp;5)'!Q24*100</f>
        <v>131.63118977089272</v>
      </c>
      <c r="AQ24" s="157">
        <f>'May 12(1)'!R23/'May 12 (4&amp;5)'!R24*100</f>
        <v>93.85087291804031</v>
      </c>
      <c r="AR24" s="157">
        <f>'May 12(1)'!C23/'May 12 (4&amp;5)'!C24*100</f>
        <v>47.50944376589399</v>
      </c>
      <c r="AS24" s="157">
        <f>'May 12(1)'!D23/'May 12 (4&amp;5)'!D24*100</f>
        <v>22.68660855784469</v>
      </c>
      <c r="AT24" s="157">
        <f>'May 12(1)'!E23/'May 12 (4&amp;5)'!E24*100</f>
        <v>143.11622268395078</v>
      </c>
      <c r="AU24" s="157">
        <f>'May 12(1)'!F23/'May 12 (4&amp;5)'!F24*100</f>
        <v>99.92324046317236</v>
      </c>
      <c r="AV24" s="7"/>
      <c r="AW24" s="7"/>
      <c r="AX24" s="8"/>
      <c r="AY24" s="8"/>
      <c r="AZ24" s="8"/>
      <c r="BA24" s="8"/>
      <c r="BB24" s="8"/>
      <c r="BC24" s="8"/>
      <c r="BD24" s="8"/>
      <c r="BE24" s="8"/>
      <c r="BF24" s="8"/>
    </row>
    <row r="25" spans="1:58" ht="21" customHeight="1">
      <c r="A25" s="24">
        <v>19</v>
      </c>
      <c r="B25" s="25" t="s">
        <v>70</v>
      </c>
      <c r="C25" s="35">
        <v>2007204</v>
      </c>
      <c r="D25" s="35">
        <v>543350</v>
      </c>
      <c r="E25" s="35">
        <v>3908419</v>
      </c>
      <c r="F25" s="26">
        <f t="shared" si="0"/>
        <v>6458973</v>
      </c>
      <c r="G25" s="175"/>
      <c r="H25" s="313"/>
      <c r="I25" s="313"/>
      <c r="J25" s="26">
        <f t="shared" si="1"/>
        <v>0</v>
      </c>
      <c r="K25" s="374">
        <v>2003800</v>
      </c>
      <c r="L25" s="374">
        <v>543350</v>
      </c>
      <c r="M25" s="35">
        <v>3908419</v>
      </c>
      <c r="N25" s="26">
        <f t="shared" si="2"/>
        <v>6455569</v>
      </c>
      <c r="O25" s="387">
        <v>1993646</v>
      </c>
      <c r="P25" s="387">
        <v>543350</v>
      </c>
      <c r="Q25" s="35">
        <v>3908419</v>
      </c>
      <c r="R25" s="35">
        <f t="shared" si="3"/>
        <v>6445415</v>
      </c>
      <c r="S25" s="26">
        <f t="shared" si="4"/>
        <v>-10154</v>
      </c>
      <c r="T25" s="26">
        <f t="shared" si="5"/>
        <v>0</v>
      </c>
      <c r="U25" s="26">
        <f t="shared" si="6"/>
        <v>0</v>
      </c>
      <c r="V25" s="26">
        <f t="shared" si="7"/>
        <v>-10154</v>
      </c>
      <c r="W25" s="26">
        <f t="shared" si="8"/>
        <v>-13558</v>
      </c>
      <c r="X25" s="26">
        <f t="shared" si="9"/>
        <v>0</v>
      </c>
      <c r="Y25" s="26">
        <f t="shared" si="10"/>
        <v>0</v>
      </c>
      <c r="Z25" s="26">
        <f t="shared" si="11"/>
        <v>-13558</v>
      </c>
      <c r="AA25" s="35">
        <v>0</v>
      </c>
      <c r="AB25" s="35">
        <v>0</v>
      </c>
      <c r="AC25" s="35">
        <v>33482</v>
      </c>
      <c r="AD25" s="35">
        <v>20735</v>
      </c>
      <c r="AE25" s="35">
        <v>0</v>
      </c>
      <c r="AF25" s="35">
        <v>0</v>
      </c>
      <c r="AG25" s="35">
        <v>0</v>
      </c>
      <c r="AH25" s="35">
        <v>0</v>
      </c>
      <c r="AI25" s="157">
        <f t="shared" si="15"/>
        <v>-1.430649480961037</v>
      </c>
      <c r="AJ25" s="160">
        <f t="shared" si="14"/>
        <v>-5.406905739980026</v>
      </c>
      <c r="AK25" s="160">
        <f t="shared" si="14"/>
        <v>0.465756629993014</v>
      </c>
      <c r="AL25" s="160">
        <f t="shared" si="13"/>
        <v>0.0009390108513629952</v>
      </c>
      <c r="AM25" s="160"/>
      <c r="AN25" s="157">
        <f>'May 12(1)'!O24/'May 12 (4&amp;5)'!O25*100</f>
        <v>51.397439665818304</v>
      </c>
      <c r="AO25" s="157">
        <f>'May 12(1)'!P24/'May 12 (4&amp;5)'!P25*100</f>
        <v>36.06515137572467</v>
      </c>
      <c r="AP25" s="157">
        <f>'May 12(1)'!Q24/'May 12 (4&amp;5)'!Q25*100</f>
        <v>139.9555165400639</v>
      </c>
      <c r="AQ25" s="157">
        <f>'May 12(1)'!R24/'May 12 (4&amp;5)'!R25*100</f>
        <v>103.8054337851015</v>
      </c>
      <c r="AR25" s="157">
        <f>'May 12(1)'!C24/'May 12 (4&amp;5)'!C25*100</f>
        <v>52.14342936741856</v>
      </c>
      <c r="AS25" s="157">
        <f>'May 12(1)'!D24/'May 12 (4&amp;5)'!D25*100</f>
        <v>38.12662188276433</v>
      </c>
      <c r="AT25" s="157">
        <f>'May 12(1)'!E24/'May 12 (4&amp;5)'!E25*100</f>
        <v>139.3066864120761</v>
      </c>
      <c r="AU25" s="157">
        <f>'May 12(1)'!F24/'May 12 (4&amp;5)'!F25*100</f>
        <v>103.70805080002657</v>
      </c>
      <c r="AV25" s="7"/>
      <c r="AW25" s="7"/>
      <c r="AX25" s="8"/>
      <c r="AY25" s="8"/>
      <c r="AZ25" s="8"/>
      <c r="BA25" s="8"/>
      <c r="BB25" s="8"/>
      <c r="BC25" s="8"/>
      <c r="BD25" s="8"/>
      <c r="BE25" s="8"/>
      <c r="BF25" s="8"/>
    </row>
    <row r="26" spans="1:58" ht="21" customHeight="1">
      <c r="A26" s="27">
        <v>20</v>
      </c>
      <c r="B26" s="28" t="s">
        <v>71</v>
      </c>
      <c r="C26" s="33">
        <v>3177181</v>
      </c>
      <c r="D26" s="33">
        <v>622500</v>
      </c>
      <c r="E26" s="33">
        <v>7004773</v>
      </c>
      <c r="F26" s="29">
        <f t="shared" si="0"/>
        <v>10804454</v>
      </c>
      <c r="G26" s="176"/>
      <c r="H26" s="314"/>
      <c r="I26" s="314"/>
      <c r="J26" s="29">
        <f t="shared" si="1"/>
        <v>0</v>
      </c>
      <c r="K26" s="33">
        <v>3165783</v>
      </c>
      <c r="L26" s="33">
        <v>622500</v>
      </c>
      <c r="M26" s="33">
        <v>7019977</v>
      </c>
      <c r="N26" s="29">
        <f t="shared" si="2"/>
        <v>10808260</v>
      </c>
      <c r="O26" s="33">
        <v>3160087</v>
      </c>
      <c r="P26" s="33">
        <v>622500</v>
      </c>
      <c r="Q26" s="33">
        <v>7032751</v>
      </c>
      <c r="R26" s="33">
        <f t="shared" si="3"/>
        <v>10815338</v>
      </c>
      <c r="S26" s="29">
        <f t="shared" si="4"/>
        <v>-5696</v>
      </c>
      <c r="T26" s="29">
        <f t="shared" si="5"/>
        <v>0</v>
      </c>
      <c r="U26" s="29">
        <f t="shared" si="6"/>
        <v>12774</v>
      </c>
      <c r="V26" s="29">
        <f t="shared" si="7"/>
        <v>7078</v>
      </c>
      <c r="W26" s="29">
        <f t="shared" si="8"/>
        <v>-17094</v>
      </c>
      <c r="X26" s="29">
        <f t="shared" si="9"/>
        <v>0</v>
      </c>
      <c r="Y26" s="29">
        <f t="shared" si="10"/>
        <v>27978</v>
      </c>
      <c r="Z26" s="33">
        <f t="shared" si="11"/>
        <v>10884</v>
      </c>
      <c r="AA26" s="35">
        <v>36122</v>
      </c>
      <c r="AB26" s="35">
        <v>0</v>
      </c>
      <c r="AC26" s="35">
        <v>118</v>
      </c>
      <c r="AD26" s="231">
        <v>0</v>
      </c>
      <c r="AE26" s="35">
        <v>0</v>
      </c>
      <c r="AF26" s="35">
        <v>0</v>
      </c>
      <c r="AG26" s="35">
        <v>0</v>
      </c>
      <c r="AH26" s="35">
        <v>0</v>
      </c>
      <c r="AI26" s="157">
        <f t="shared" si="15"/>
        <v>-0.8833190121829053</v>
      </c>
      <c r="AJ26" s="160">
        <f t="shared" si="14"/>
        <v>-44.157219638317194</v>
      </c>
      <c r="AK26" s="160">
        <f t="shared" si="14"/>
        <v>-0.06656061260044938</v>
      </c>
      <c r="AL26" s="160">
        <f t="shared" si="13"/>
        <v>-0.01978864865821718</v>
      </c>
      <c r="AM26" s="161"/>
      <c r="AN26" s="157">
        <f>'May 12(1)'!O25/'May 12 (4&amp;5)'!O26*100</f>
        <v>51.95474048657521</v>
      </c>
      <c r="AO26" s="157">
        <f>'May 12(1)'!P25/'May 12 (4&amp;5)'!P26*100</f>
        <v>37.43726907630522</v>
      </c>
      <c r="AP26" s="157">
        <f>'May 12(1)'!Q25/'May 12 (4&amp;5)'!Q26*100</f>
        <v>108.77866996855144</v>
      </c>
      <c r="AQ26" s="157">
        <f>'May 12(1)'!R25/'May 12 (4&amp;5)'!R26*100</f>
        <v>88.0693233997865</v>
      </c>
      <c r="AR26" s="157">
        <f>'May 12(1)'!C25/'May 12 (4&amp;5)'!C26*100</f>
        <v>52.417756495459344</v>
      </c>
      <c r="AS26" s="157">
        <f>'May 12(1)'!D25/'May 12 (4&amp;5)'!D26*100</f>
        <v>67.04048192771084</v>
      </c>
      <c r="AT26" s="157">
        <f>'May 12(1)'!E25/'May 12 (4&amp;5)'!E26*100</f>
        <v>108.85112194213859</v>
      </c>
      <c r="AU26" s="157">
        <f>'May 12(1)'!F25/'May 12 (4&amp;5)'!F26*100</f>
        <v>89.84727964967041</v>
      </c>
      <c r="AV26" s="7"/>
      <c r="AW26" s="7"/>
      <c r="AX26" s="8"/>
      <c r="AY26" s="8"/>
      <c r="AZ26" s="8"/>
      <c r="BA26" s="8"/>
      <c r="BB26" s="8"/>
      <c r="BC26" s="8"/>
      <c r="BD26" s="8"/>
      <c r="BE26" s="8"/>
      <c r="BF26" s="8"/>
    </row>
    <row r="27" spans="1:58" ht="21" customHeight="1">
      <c r="A27" s="30">
        <v>21</v>
      </c>
      <c r="B27" s="31" t="s">
        <v>72</v>
      </c>
      <c r="C27" s="34">
        <v>491656</v>
      </c>
      <c r="D27" s="34">
        <v>159750</v>
      </c>
      <c r="E27" s="34">
        <v>949618</v>
      </c>
      <c r="F27" s="32">
        <f t="shared" si="0"/>
        <v>1601024</v>
      </c>
      <c r="G27" s="177"/>
      <c r="H27" s="315"/>
      <c r="I27" s="315"/>
      <c r="J27" s="32">
        <f t="shared" si="1"/>
        <v>0</v>
      </c>
      <c r="K27" s="34">
        <v>491656</v>
      </c>
      <c r="L27" s="34">
        <v>159750</v>
      </c>
      <c r="M27" s="34">
        <v>950158</v>
      </c>
      <c r="N27" s="32">
        <f t="shared" si="2"/>
        <v>1601564</v>
      </c>
      <c r="O27" s="34">
        <v>481156</v>
      </c>
      <c r="P27" s="34">
        <v>159750</v>
      </c>
      <c r="Q27" s="34">
        <v>950158</v>
      </c>
      <c r="R27" s="34">
        <f t="shared" si="3"/>
        <v>1591064</v>
      </c>
      <c r="S27" s="32">
        <f t="shared" si="4"/>
        <v>-10500</v>
      </c>
      <c r="T27" s="366">
        <f t="shared" si="5"/>
        <v>0</v>
      </c>
      <c r="U27" s="32">
        <f t="shared" si="6"/>
        <v>0</v>
      </c>
      <c r="V27" s="32">
        <f t="shared" si="7"/>
        <v>-10500</v>
      </c>
      <c r="W27" s="32">
        <f t="shared" si="8"/>
        <v>-10500</v>
      </c>
      <c r="X27" s="32">
        <f t="shared" si="9"/>
        <v>0</v>
      </c>
      <c r="Y27" s="32">
        <f t="shared" si="10"/>
        <v>540</v>
      </c>
      <c r="Z27" s="32">
        <f t="shared" si="11"/>
        <v>-9960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234">
        <f t="shared" si="15"/>
        <v>0.5953822098466456</v>
      </c>
      <c r="AJ27" s="160">
        <f t="shared" si="14"/>
        <v>-7.031799091454539</v>
      </c>
      <c r="AK27" s="160">
        <f t="shared" si="14"/>
        <v>0.2998464784499484</v>
      </c>
      <c r="AL27" s="160">
        <f t="shared" si="13"/>
        <v>0.004621760787195052</v>
      </c>
      <c r="AM27" s="161"/>
      <c r="AN27" s="157">
        <f>'May 12(1)'!O26/'May 12 (4&amp;5)'!O27*100</f>
        <v>45.09826334910091</v>
      </c>
      <c r="AO27" s="157">
        <f>'May 12(1)'!P26/'May 12 (4&amp;5)'!P27*100</f>
        <v>33.94866979655712</v>
      </c>
      <c r="AP27" s="157">
        <f>'May 12(1)'!Q26/'May 12 (4&amp;5)'!Q27*100</f>
        <v>143.7160977437437</v>
      </c>
      <c r="AQ27" s="157">
        <f>'May 12(1)'!R26/'May 12 (4&amp;5)'!R27*100</f>
        <v>102.87178894123682</v>
      </c>
      <c r="AR27" s="157">
        <f>'May 12(1)'!C26/'May 12 (4&amp;5)'!C27*100</f>
        <v>44.83134549359715</v>
      </c>
      <c r="AS27" s="157">
        <f>'May 12(1)'!D26/'May 12 (4&amp;5)'!D27*100</f>
        <v>36.51643192488263</v>
      </c>
      <c r="AT27" s="157">
        <f>'May 12(1)'!E26/'May 12 (4&amp;5)'!E27*100</f>
        <v>143.28645834430264</v>
      </c>
      <c r="AU27" s="157">
        <f>'May 12(1)'!F26/'May 12 (4&amp;5)'!F27*100</f>
        <v>102.39852744243684</v>
      </c>
      <c r="AV27" s="7"/>
      <c r="AW27" s="7"/>
      <c r="AX27" s="8"/>
      <c r="AY27" s="8"/>
      <c r="AZ27" s="8"/>
      <c r="BA27" s="8"/>
      <c r="BB27" s="8"/>
      <c r="BC27" s="8"/>
      <c r="BD27" s="8"/>
      <c r="BE27" s="8"/>
      <c r="BF27" s="8"/>
    </row>
    <row r="28" spans="1:58" ht="21" customHeight="1">
      <c r="A28" s="24">
        <v>22</v>
      </c>
      <c r="B28" s="44" t="s">
        <v>7</v>
      </c>
      <c r="C28" s="35">
        <v>2062016</v>
      </c>
      <c r="D28" s="35">
        <v>471750</v>
      </c>
      <c r="E28" s="35">
        <v>6444900</v>
      </c>
      <c r="F28" s="26">
        <f t="shared" si="0"/>
        <v>8978666</v>
      </c>
      <c r="G28" s="175"/>
      <c r="H28" s="313"/>
      <c r="I28" s="313"/>
      <c r="J28" s="26">
        <f t="shared" si="1"/>
        <v>0</v>
      </c>
      <c r="K28" s="35">
        <v>2050456</v>
      </c>
      <c r="L28" s="35">
        <v>471750</v>
      </c>
      <c r="M28" s="35">
        <v>6444900</v>
      </c>
      <c r="N28" s="26">
        <f t="shared" si="2"/>
        <v>8967106</v>
      </c>
      <c r="O28" s="35">
        <v>2049824</v>
      </c>
      <c r="P28" s="35">
        <v>471750</v>
      </c>
      <c r="Q28" s="35">
        <v>6444900</v>
      </c>
      <c r="R28" s="35">
        <f t="shared" si="3"/>
        <v>8966474</v>
      </c>
      <c r="S28" s="26">
        <f>O28-K28</f>
        <v>-632</v>
      </c>
      <c r="T28" s="26">
        <f>P28-L28</f>
        <v>0</v>
      </c>
      <c r="U28" s="26">
        <f>Q28-M28</f>
        <v>0</v>
      </c>
      <c r="V28" s="26">
        <f t="shared" si="7"/>
        <v>-632</v>
      </c>
      <c r="W28" s="26">
        <f>O28-C28</f>
        <v>-12192</v>
      </c>
      <c r="X28" s="35">
        <f t="shared" si="9"/>
        <v>0</v>
      </c>
      <c r="Y28" s="35">
        <f t="shared" si="10"/>
        <v>0</v>
      </c>
      <c r="Z28" s="35">
        <f t="shared" si="11"/>
        <v>-12192</v>
      </c>
      <c r="AA28" s="35">
        <v>0</v>
      </c>
      <c r="AB28" s="35">
        <v>0</v>
      </c>
      <c r="AC28" s="35">
        <v>31403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234">
        <f t="shared" si="15"/>
        <v>-5.255037420669817</v>
      </c>
      <c r="AJ28" s="160">
        <f t="shared" si="14"/>
        <v>-2.245575615140824</v>
      </c>
      <c r="AK28" s="160">
        <f t="shared" si="14"/>
        <v>-0.5228584417686846</v>
      </c>
      <c r="AL28" s="160">
        <f t="shared" si="13"/>
        <v>-0.010046379988547285</v>
      </c>
      <c r="AM28" s="160"/>
      <c r="AN28" s="157">
        <f>'May 12(1)'!O27/'May 12 (4&amp;5)'!O28*100</f>
        <v>53.648849852475145</v>
      </c>
      <c r="AO28" s="157">
        <f>'May 12(1)'!P27/'May 12 (4&amp;5)'!P28*100</f>
        <v>93.10821409644939</v>
      </c>
      <c r="AP28" s="157">
        <f>'May 12(1)'!Q27/'May 12 (4&amp;5)'!Q28*100</f>
        <v>149.2170243137985</v>
      </c>
      <c r="AQ28" s="157">
        <f>'May 12(1)'!R27/'May 12 (4&amp;5)'!R28*100</f>
        <v>124.41716777408823</v>
      </c>
      <c r="AR28" s="157">
        <f>'May 12(1)'!C27/'May 12 (4&amp;5)'!C28*100</f>
        <v>56.62448787982246</v>
      </c>
      <c r="AS28" s="157">
        <f>'May 12(1)'!D27/'May 12 (4&amp;5)'!D28*100</f>
        <v>95.2470588235294</v>
      </c>
      <c r="AT28" s="157">
        <f>'May 12(1)'!E27/'May 12 (4&amp;5)'!E28*100</f>
        <v>150.00131887228662</v>
      </c>
      <c r="AU28" s="157">
        <f>'May 12(1)'!F27/'May 12 (4&amp;5)'!F28*100</f>
        <v>125.6797947490195</v>
      </c>
      <c r="AV28" s="7"/>
      <c r="AW28" s="7"/>
      <c r="AX28" s="8"/>
      <c r="AY28" s="8"/>
      <c r="AZ28" s="8"/>
      <c r="BA28" s="8"/>
      <c r="BB28" s="8"/>
      <c r="BC28" s="8"/>
      <c r="BD28" s="8"/>
      <c r="BE28" s="8"/>
      <c r="BF28" s="8"/>
    </row>
    <row r="29" spans="1:58" ht="21" customHeight="1">
      <c r="A29" s="27">
        <v>23</v>
      </c>
      <c r="B29" s="45" t="s">
        <v>8</v>
      </c>
      <c r="C29" s="33">
        <v>1420388</v>
      </c>
      <c r="D29" s="33">
        <v>219550</v>
      </c>
      <c r="E29" s="33">
        <v>2530357</v>
      </c>
      <c r="F29" s="29">
        <f t="shared" si="0"/>
        <v>4170295</v>
      </c>
      <c r="G29" s="176"/>
      <c r="H29" s="314"/>
      <c r="I29" s="314"/>
      <c r="J29" s="29">
        <f t="shared" si="1"/>
        <v>0</v>
      </c>
      <c r="K29" s="33">
        <v>1404338</v>
      </c>
      <c r="L29" s="33">
        <v>219550</v>
      </c>
      <c r="M29" s="33">
        <v>2530357</v>
      </c>
      <c r="N29" s="29">
        <f t="shared" si="2"/>
        <v>4154245</v>
      </c>
      <c r="O29" s="33">
        <v>1389630</v>
      </c>
      <c r="P29" s="33">
        <v>219250</v>
      </c>
      <c r="Q29" s="33">
        <v>2531348</v>
      </c>
      <c r="R29" s="33">
        <f t="shared" si="3"/>
        <v>4140228</v>
      </c>
      <c r="S29" s="29">
        <f t="shared" si="4"/>
        <v>-14708</v>
      </c>
      <c r="T29" s="29">
        <f t="shared" si="5"/>
        <v>-300</v>
      </c>
      <c r="U29" s="29">
        <f t="shared" si="6"/>
        <v>991</v>
      </c>
      <c r="V29" s="29">
        <f t="shared" si="7"/>
        <v>-14017</v>
      </c>
      <c r="W29" s="29">
        <f t="shared" si="8"/>
        <v>-30758</v>
      </c>
      <c r="X29" s="29">
        <f t="shared" si="9"/>
        <v>-300</v>
      </c>
      <c r="Y29" s="29">
        <f t="shared" si="10"/>
        <v>991</v>
      </c>
      <c r="Z29" s="29">
        <f t="shared" si="11"/>
        <v>-30067</v>
      </c>
      <c r="AA29" s="35">
        <v>0</v>
      </c>
      <c r="AB29" s="35">
        <v>0</v>
      </c>
      <c r="AC29" s="35">
        <v>0</v>
      </c>
      <c r="AD29" s="35">
        <v>9567</v>
      </c>
      <c r="AE29" s="35">
        <v>0</v>
      </c>
      <c r="AF29" s="35">
        <v>0</v>
      </c>
      <c r="AG29" s="35">
        <v>0</v>
      </c>
      <c r="AH29" s="35">
        <v>0</v>
      </c>
      <c r="AI29" s="234">
        <f t="shared" si="15"/>
        <v>1.681598518409367</v>
      </c>
      <c r="AJ29" s="160">
        <f t="shared" si="14"/>
        <v>-0.9421749340056391</v>
      </c>
      <c r="AK29" s="160">
        <f t="shared" si="14"/>
        <v>1.8998037177560063</v>
      </c>
      <c r="AL29" s="160">
        <f t="shared" si="13"/>
        <v>0.022641656243789714</v>
      </c>
      <c r="AM29" s="161"/>
      <c r="AN29" s="157">
        <f>'May 12(1)'!O28/'May 12 (4&amp;5)'!O29*100</f>
        <v>38.581205068975194</v>
      </c>
      <c r="AO29" s="157">
        <f>'May 12(1)'!P28/'May 12 (4&amp;5)'!P29*100</f>
        <v>43.75644241733181</v>
      </c>
      <c r="AP29" s="157">
        <f>'May 12(1)'!Q28/'May 12 (4&amp;5)'!Q29*100</f>
        <v>132.25562032561305</v>
      </c>
      <c r="AQ29" s="157">
        <f>'May 12(1)'!R28/'May 12 (4&amp;5)'!R29*100</f>
        <v>96.12808763188887</v>
      </c>
      <c r="AR29" s="157">
        <f>'May 12(1)'!C28/'May 12 (4&amp;5)'!C29*100</f>
        <v>37.943153560858015</v>
      </c>
      <c r="AS29" s="157">
        <f>'May 12(1)'!D28/'May 12 (4&amp;5)'!D29*100</f>
        <v>44.17262582555227</v>
      </c>
      <c r="AT29" s="157">
        <f>'May 12(1)'!E28/'May 12 (4&amp;5)'!E29*100</f>
        <v>129.78986759575824</v>
      </c>
      <c r="AU29" s="157">
        <f>'May 12(1)'!F28/'May 12 (4&amp;5)'!F29*100</f>
        <v>93.99977699419345</v>
      </c>
      <c r="AV29" s="7"/>
      <c r="AW29" s="7"/>
      <c r="AX29" s="8"/>
      <c r="AY29" s="8"/>
      <c r="AZ29" s="8"/>
      <c r="BA29" s="8"/>
      <c r="BB29" s="8"/>
      <c r="BC29" s="8"/>
      <c r="BD29" s="8"/>
      <c r="BE29" s="8"/>
      <c r="BF29" s="8"/>
    </row>
    <row r="30" spans="1:58" ht="21" customHeight="1">
      <c r="A30" s="30">
        <v>24</v>
      </c>
      <c r="B30" s="46" t="s">
        <v>40</v>
      </c>
      <c r="C30" s="34">
        <v>1661155</v>
      </c>
      <c r="D30" s="34">
        <v>299500</v>
      </c>
      <c r="E30" s="34">
        <v>2885010</v>
      </c>
      <c r="F30" s="32">
        <f t="shared" si="0"/>
        <v>4845665</v>
      </c>
      <c r="G30" s="177"/>
      <c r="H30" s="315"/>
      <c r="I30" s="315"/>
      <c r="J30" s="32">
        <f t="shared" si="1"/>
        <v>0</v>
      </c>
      <c r="K30" s="34">
        <v>1657143</v>
      </c>
      <c r="L30" s="34">
        <v>297500</v>
      </c>
      <c r="M30" s="34">
        <v>2885010</v>
      </c>
      <c r="N30" s="32">
        <f t="shared" si="2"/>
        <v>4839653</v>
      </c>
      <c r="O30" s="34">
        <v>1657143</v>
      </c>
      <c r="P30" s="34">
        <v>297500</v>
      </c>
      <c r="Q30" s="34">
        <v>2885898</v>
      </c>
      <c r="R30" s="34">
        <f t="shared" si="3"/>
        <v>4840541</v>
      </c>
      <c r="S30" s="32">
        <f t="shared" si="4"/>
        <v>0</v>
      </c>
      <c r="T30" s="32">
        <f t="shared" si="5"/>
        <v>0</v>
      </c>
      <c r="U30" s="32">
        <f t="shared" si="6"/>
        <v>888</v>
      </c>
      <c r="V30" s="32">
        <f t="shared" si="7"/>
        <v>888</v>
      </c>
      <c r="W30" s="32">
        <f t="shared" si="8"/>
        <v>-4012</v>
      </c>
      <c r="X30" s="32">
        <f t="shared" si="9"/>
        <v>-2000</v>
      </c>
      <c r="Y30" s="32">
        <f t="shared" si="10"/>
        <v>888</v>
      </c>
      <c r="Z30" s="32">
        <f t="shared" si="11"/>
        <v>-5124</v>
      </c>
      <c r="AA30" s="35">
        <v>8000</v>
      </c>
      <c r="AB30" s="35">
        <v>0</v>
      </c>
      <c r="AC30" s="35">
        <v>8765</v>
      </c>
      <c r="AD30" s="35">
        <v>0</v>
      </c>
      <c r="AE30" s="35">
        <v>25000</v>
      </c>
      <c r="AF30" s="35">
        <v>0</v>
      </c>
      <c r="AG30" s="35">
        <v>0</v>
      </c>
      <c r="AH30" s="35">
        <v>0</v>
      </c>
      <c r="AI30" s="157">
        <f t="shared" si="15"/>
        <v>-8.328569313067268</v>
      </c>
      <c r="AJ30" s="160">
        <f t="shared" si="14"/>
        <v>15.2711363784028</v>
      </c>
      <c r="AK30" s="160">
        <f t="shared" si="14"/>
        <v>0.6935382866869367</v>
      </c>
      <c r="AL30" s="160">
        <f t="shared" si="13"/>
        <v>-0.0041955177685244534</v>
      </c>
      <c r="AM30" s="161"/>
      <c r="AN30" s="157">
        <f>'May 12(1)'!O29/'May 12 (4&amp;5)'!O30*100</f>
        <v>36.22946239401186</v>
      </c>
      <c r="AO30" s="157">
        <f>'May 12(1)'!P29/'May 12 (4&amp;5)'!P30*100</f>
        <v>28.32436974789916</v>
      </c>
      <c r="AP30" s="157">
        <f>'May 12(1)'!Q29/'May 12 (4&amp;5)'!Q30*100</f>
        <v>116.28782444840394</v>
      </c>
      <c r="AQ30" s="157">
        <f>'May 12(1)'!R29/'May 12 (4&amp;5)'!R30*100</f>
        <v>83.47387203207245</v>
      </c>
      <c r="AR30" s="157">
        <f>'May 12(1)'!C29/'May 12 (4&amp;5)'!C30*100</f>
        <v>39.52099593355226</v>
      </c>
      <c r="AS30" s="157">
        <f>'May 12(1)'!D29/'May 12 (4&amp;5)'!D30*100</f>
        <v>24.57195325542571</v>
      </c>
      <c r="AT30" s="157">
        <f>'May 12(1)'!E29/'May 12 (4&amp;5)'!E30*100</f>
        <v>115.4868787283233</v>
      </c>
      <c r="AU30" s="157">
        <f>'May 12(1)'!F29/'May 12 (4&amp;5)'!F30*100</f>
        <v>83.82556367392297</v>
      </c>
      <c r="AV30" s="7"/>
      <c r="AW30" s="7"/>
      <c r="AX30" s="8"/>
      <c r="AY30" s="8"/>
      <c r="AZ30" s="8"/>
      <c r="BA30" s="8"/>
      <c r="BB30" s="8"/>
      <c r="BC30" s="8"/>
      <c r="BD30" s="8"/>
      <c r="BE30" s="8"/>
      <c r="BF30" s="8"/>
    </row>
    <row r="31" spans="1:58" ht="21" customHeight="1">
      <c r="A31" s="24">
        <v>25</v>
      </c>
      <c r="B31" s="44" t="s">
        <v>9</v>
      </c>
      <c r="C31" s="35">
        <v>1542079</v>
      </c>
      <c r="D31" s="35">
        <v>200000</v>
      </c>
      <c r="E31" s="35">
        <v>1538801</v>
      </c>
      <c r="F31" s="26">
        <f t="shared" si="0"/>
        <v>3280880</v>
      </c>
      <c r="G31" s="175"/>
      <c r="H31" s="313"/>
      <c r="I31" s="313"/>
      <c r="J31" s="26">
        <f t="shared" si="1"/>
        <v>0</v>
      </c>
      <c r="K31" s="35">
        <v>1541559</v>
      </c>
      <c r="L31" s="35">
        <v>200000</v>
      </c>
      <c r="M31" s="35">
        <v>1538801</v>
      </c>
      <c r="N31" s="26">
        <f t="shared" si="2"/>
        <v>3280360</v>
      </c>
      <c r="O31" s="35">
        <v>1532611</v>
      </c>
      <c r="P31" s="35">
        <v>200000</v>
      </c>
      <c r="Q31" s="35">
        <v>1538801</v>
      </c>
      <c r="R31" s="35">
        <f t="shared" si="3"/>
        <v>3271412</v>
      </c>
      <c r="S31" s="26">
        <f t="shared" si="4"/>
        <v>-8948</v>
      </c>
      <c r="T31" s="26">
        <f t="shared" si="5"/>
        <v>0</v>
      </c>
      <c r="U31" s="26">
        <f t="shared" si="6"/>
        <v>0</v>
      </c>
      <c r="V31" s="26">
        <f t="shared" si="7"/>
        <v>-8948</v>
      </c>
      <c r="W31" s="26">
        <f t="shared" si="8"/>
        <v>-9468</v>
      </c>
      <c r="X31" s="26">
        <f t="shared" si="9"/>
        <v>0</v>
      </c>
      <c r="Y31" s="26">
        <f t="shared" si="10"/>
        <v>0</v>
      </c>
      <c r="Z31" s="26">
        <f t="shared" si="11"/>
        <v>-9468</v>
      </c>
      <c r="AA31" s="35">
        <v>9300</v>
      </c>
      <c r="AB31" s="35">
        <v>150000</v>
      </c>
      <c r="AC31" s="35">
        <v>24729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157">
        <f t="shared" si="15"/>
        <v>-0.1843885345417592</v>
      </c>
      <c r="AJ31" s="160">
        <f t="shared" si="14"/>
        <v>-0.4937261320239973</v>
      </c>
      <c r="AK31" s="160">
        <f t="shared" si="14"/>
        <v>-0.41906279581088735</v>
      </c>
      <c r="AL31" s="160">
        <f t="shared" si="13"/>
        <v>-0.002403949386136138</v>
      </c>
      <c r="AM31" s="162"/>
      <c r="AN31" s="157">
        <f>'May 12(1)'!O30/'May 12 (4&amp;5)'!O31*100</f>
        <v>63.117712191808614</v>
      </c>
      <c r="AO31" s="157">
        <f>'May 12(1)'!P30/'May 12 (4&amp;5)'!P31*100</f>
        <v>18.2395</v>
      </c>
      <c r="AP31" s="157">
        <f>'May 12(1)'!Q30/'May 12 (4&amp;5)'!Q31*100</f>
        <v>154.64013865340613</v>
      </c>
      <c r="AQ31" s="157">
        <f>'May 12(1)'!R30/'May 12 (4&amp;5)'!R31*100</f>
        <v>103.42420948507862</v>
      </c>
      <c r="AR31" s="157">
        <f>'May 12(1)'!C30/'May 12 (4&amp;5)'!C31*100</f>
        <v>63.23430900751518</v>
      </c>
      <c r="AS31" s="157">
        <f>'May 12(1)'!D30/'May 12 (4&amp;5)'!D31*100</f>
        <v>18.33</v>
      </c>
      <c r="AT31" s="157">
        <f>'May 12(1)'!E30/'May 12 (4&amp;5)'!E31*100</f>
        <v>155.29090506179813</v>
      </c>
      <c r="AU31" s="157">
        <f>'May 12(1)'!F30/'May 12 (4&amp;5)'!F31*100</f>
        <v>103.67343517592842</v>
      </c>
      <c r="AV31" s="7"/>
      <c r="AW31" s="7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21" customHeight="1">
      <c r="A32" s="30">
        <v>26</v>
      </c>
      <c r="B32" s="46" t="s">
        <v>10</v>
      </c>
      <c r="C32" s="345">
        <f>1286127-54627</f>
        <v>1231500</v>
      </c>
      <c r="D32" s="346">
        <v>95310</v>
      </c>
      <c r="E32" s="34">
        <v>1968070</v>
      </c>
      <c r="F32" s="32">
        <f t="shared" si="0"/>
        <v>3294880</v>
      </c>
      <c r="G32" s="177"/>
      <c r="H32" s="315"/>
      <c r="I32" s="315"/>
      <c r="J32" s="32">
        <f t="shared" si="1"/>
        <v>0</v>
      </c>
      <c r="K32" s="349">
        <f>1286127-54627</f>
        <v>1231500</v>
      </c>
      <c r="L32" s="346">
        <v>95310</v>
      </c>
      <c r="M32" s="34">
        <v>1963664</v>
      </c>
      <c r="N32" s="29">
        <f t="shared" si="2"/>
        <v>3290474</v>
      </c>
      <c r="O32" s="349">
        <f>1286127-54627</f>
        <v>1231500</v>
      </c>
      <c r="P32" s="346">
        <v>95310</v>
      </c>
      <c r="Q32" s="34">
        <v>1935550</v>
      </c>
      <c r="R32" s="33">
        <f t="shared" si="3"/>
        <v>3262360</v>
      </c>
      <c r="S32" s="29">
        <f t="shared" si="4"/>
        <v>0</v>
      </c>
      <c r="T32" s="29">
        <f t="shared" si="5"/>
        <v>0</v>
      </c>
      <c r="U32" s="29">
        <f t="shared" si="6"/>
        <v>-28114</v>
      </c>
      <c r="V32" s="29">
        <f t="shared" si="7"/>
        <v>-28114</v>
      </c>
      <c r="W32" s="29">
        <f t="shared" si="8"/>
        <v>0</v>
      </c>
      <c r="X32" s="29">
        <f t="shared" si="9"/>
        <v>0</v>
      </c>
      <c r="Y32" s="29">
        <f t="shared" si="10"/>
        <v>-32520</v>
      </c>
      <c r="Z32" s="29">
        <f t="shared" si="11"/>
        <v>-32520</v>
      </c>
      <c r="AA32" s="35">
        <v>9470</v>
      </c>
      <c r="AB32" s="35">
        <v>0</v>
      </c>
      <c r="AC32" s="35">
        <v>2334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157">
        <f t="shared" si="15"/>
        <v>-0.666227829143254</v>
      </c>
      <c r="AJ32" s="160">
        <f t="shared" si="14"/>
        <v>-4.972476229470893</v>
      </c>
      <c r="AK32" s="160">
        <f t="shared" si="14"/>
        <v>2.0933673314426775</v>
      </c>
      <c r="AL32" s="160">
        <f t="shared" si="13"/>
        <v>0.010020591376237873</v>
      </c>
      <c r="AM32" s="161"/>
      <c r="AN32" s="157">
        <f>'May 12(1)'!O31/'May 12 (4&amp;5)'!O32*100</f>
        <v>66.78270401948842</v>
      </c>
      <c r="AO32" s="157">
        <f>'May 12(1)'!P31/'May 12 (4&amp;5)'!P32*100</f>
        <v>21.91585353058441</v>
      </c>
      <c r="AP32" s="157">
        <f>'May 12(1)'!Q31/'May 12 (4&amp;5)'!Q32*100</f>
        <v>86.02056263077678</v>
      </c>
      <c r="AQ32" s="157">
        <f>'May 12(1)'!R31/'May 12 (4&amp;5)'!R32*100</f>
        <v>76.88569011390527</v>
      </c>
      <c r="AR32" s="157">
        <f>'May 12(1)'!C31/'May 12 (4&amp;5)'!C32*100</f>
        <v>67.23061307348762</v>
      </c>
      <c r="AS32" s="157">
        <f>'May 12(1)'!D31/'May 12 (4&amp;5)'!D32*100</f>
        <v>23.06263770853006</v>
      </c>
      <c r="AT32" s="157">
        <f>'May 12(1)'!E31/'May 12 (4&amp;5)'!E32*100</f>
        <v>84.25675915998923</v>
      </c>
      <c r="AU32" s="157">
        <f>'May 12(1)'!F31/'May 12 (4&amp;5)'!F32*100</f>
        <v>76.12289370174331</v>
      </c>
      <c r="AV32" s="7"/>
      <c r="AW32" s="7"/>
      <c r="AX32" s="8"/>
      <c r="AY32" s="8"/>
      <c r="AZ32" s="8"/>
      <c r="BA32" s="8"/>
      <c r="BB32" s="8"/>
      <c r="BC32" s="8"/>
      <c r="BD32" s="8"/>
      <c r="BE32" s="8"/>
      <c r="BF32" s="8"/>
    </row>
    <row r="33" spans="1:58" ht="21" customHeight="1">
      <c r="A33" s="212"/>
      <c r="B33" s="212" t="s">
        <v>11</v>
      </c>
      <c r="C33" s="286">
        <f aca="true" t="shared" si="16" ref="C33:Z33">SUM(C7:C32)</f>
        <v>42435826</v>
      </c>
      <c r="D33" s="286">
        <f t="shared" si="16"/>
        <v>8830960</v>
      </c>
      <c r="E33" s="286">
        <f t="shared" si="16"/>
        <v>74128772</v>
      </c>
      <c r="F33" s="286">
        <f t="shared" si="16"/>
        <v>125395558</v>
      </c>
      <c r="G33" s="292">
        <f t="shared" si="16"/>
        <v>0</v>
      </c>
      <c r="H33" s="292">
        <f t="shared" si="16"/>
        <v>0</v>
      </c>
      <c r="I33" s="292">
        <f t="shared" si="16"/>
        <v>0</v>
      </c>
      <c r="J33" s="292">
        <f t="shared" si="16"/>
        <v>0</v>
      </c>
      <c r="K33" s="286">
        <f t="shared" si="16"/>
        <v>42214151</v>
      </c>
      <c r="L33" s="286">
        <f t="shared" si="16"/>
        <v>8809960</v>
      </c>
      <c r="M33" s="286">
        <f t="shared" si="16"/>
        <v>74480387</v>
      </c>
      <c r="N33" s="286">
        <f t="shared" si="16"/>
        <v>125504498</v>
      </c>
      <c r="O33" s="286">
        <f t="shared" si="16"/>
        <v>42069109</v>
      </c>
      <c r="P33" s="286">
        <f t="shared" si="16"/>
        <v>8684910</v>
      </c>
      <c r="Q33" s="286">
        <f t="shared" si="16"/>
        <v>74515197</v>
      </c>
      <c r="R33" s="286">
        <f t="shared" si="16"/>
        <v>125269216</v>
      </c>
      <c r="S33" s="286">
        <f t="shared" si="16"/>
        <v>-145042</v>
      </c>
      <c r="T33" s="386">
        <f>SUM(T7:T32)</f>
        <v>-125050</v>
      </c>
      <c r="U33" s="286">
        <f t="shared" si="16"/>
        <v>34810</v>
      </c>
      <c r="V33" s="286">
        <f t="shared" si="16"/>
        <v>-235282</v>
      </c>
      <c r="W33" s="337">
        <f t="shared" si="16"/>
        <v>-366717</v>
      </c>
      <c r="X33" s="286">
        <f>SUM(X7:X32)</f>
        <v>-146050</v>
      </c>
      <c r="Y33" s="286">
        <f t="shared" si="16"/>
        <v>386425</v>
      </c>
      <c r="Z33" s="286">
        <f t="shared" si="16"/>
        <v>-126342</v>
      </c>
      <c r="AA33" s="258">
        <f aca="true" t="shared" si="17" ref="AA33:AH33">SUM(AA7:AA32)</f>
        <v>207990</v>
      </c>
      <c r="AB33" s="258">
        <f t="shared" si="17"/>
        <v>227500</v>
      </c>
      <c r="AC33" s="258">
        <f t="shared" si="17"/>
        <v>276246</v>
      </c>
      <c r="AD33" s="258">
        <f t="shared" si="17"/>
        <v>149085</v>
      </c>
      <c r="AE33" s="258">
        <f t="shared" si="17"/>
        <v>25000</v>
      </c>
      <c r="AF33" s="258">
        <f t="shared" si="17"/>
        <v>44000</v>
      </c>
      <c r="AG33" s="258">
        <f t="shared" si="17"/>
        <v>21031</v>
      </c>
      <c r="AH33" s="258">
        <f t="shared" si="17"/>
        <v>230695</v>
      </c>
      <c r="AI33" s="301">
        <f t="shared" si="15"/>
        <v>-2.037881214370742</v>
      </c>
      <c r="AJ33" s="301">
        <f t="shared" si="14"/>
        <v>-8.948270187379425</v>
      </c>
      <c r="AK33" s="301">
        <f t="shared" si="14"/>
        <v>-0.9199307745412338</v>
      </c>
      <c r="AL33" s="301">
        <f t="shared" si="13"/>
        <v>-0.010971752761423616</v>
      </c>
      <c r="AM33" s="301"/>
      <c r="AN33" s="301">
        <f>'May 12(1)'!O32/'May 12 (4&amp;5)'!O33*100</f>
        <v>51.86623752834889</v>
      </c>
      <c r="AO33" s="301">
        <f>'May 12(1)'!P32/'May 12 (4&amp;5)'!P33*100</f>
        <v>41.28240822299828</v>
      </c>
      <c r="AP33" s="301">
        <f>'May 12(1)'!Q32/'May 12 (4&amp;5)'!Q33*100</f>
        <v>126.32025786632491</v>
      </c>
      <c r="AQ33" s="301">
        <f>'May 12(1)'!R32/'May 12 (4&amp;5)'!R33*100</f>
        <v>95.42072411469391</v>
      </c>
      <c r="AR33" s="301">
        <f>'May 12(1)'!C32/'May 12 (4&amp;5)'!C33*100</f>
        <v>52.945197767565546</v>
      </c>
      <c r="AS33" s="301">
        <f>'May 12(1)'!D32/'May 12 (4&amp;5)'!D33*100</f>
        <v>45.33951008723853</v>
      </c>
      <c r="AT33" s="301">
        <f>'May 12(1)'!E32/'May 12 (4&amp;5)'!E33*100</f>
        <v>127.49310618554426</v>
      </c>
      <c r="AU33" s="301">
        <f>'May 12(1)'!F32/'May 12 (4&amp;5)'!F33*100</f>
        <v>96.47927082074152</v>
      </c>
      <c r="AV33" s="7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s="3" customFormat="1" ht="21" customHeight="1">
      <c r="A34" s="423" t="s">
        <v>148</v>
      </c>
      <c r="B34" s="423"/>
      <c r="C34" s="287">
        <f>C33/1000000</f>
        <v>42.435826</v>
      </c>
      <c r="D34" s="287">
        <f aca="true" t="shared" si="18" ref="D34:AH34">D33/1000000</f>
        <v>8.83096</v>
      </c>
      <c r="E34" s="287">
        <f t="shared" si="18"/>
        <v>74.128772</v>
      </c>
      <c r="F34" s="287">
        <f t="shared" si="18"/>
        <v>125.395558</v>
      </c>
      <c r="G34" s="287">
        <f t="shared" si="18"/>
        <v>0</v>
      </c>
      <c r="H34" s="287">
        <f t="shared" si="18"/>
        <v>0</v>
      </c>
      <c r="I34" s="287">
        <f t="shared" si="18"/>
        <v>0</v>
      </c>
      <c r="J34" s="287">
        <f t="shared" si="18"/>
        <v>0</v>
      </c>
      <c r="K34" s="287">
        <f t="shared" si="18"/>
        <v>42.214151</v>
      </c>
      <c r="L34" s="287">
        <f t="shared" si="18"/>
        <v>8.80996</v>
      </c>
      <c r="M34" s="287">
        <f t="shared" si="18"/>
        <v>74.480387</v>
      </c>
      <c r="N34" s="287">
        <f t="shared" si="18"/>
        <v>125.504498</v>
      </c>
      <c r="O34" s="287">
        <f t="shared" si="18"/>
        <v>42.069109</v>
      </c>
      <c r="P34" s="287">
        <f t="shared" si="18"/>
        <v>8.68491</v>
      </c>
      <c r="Q34" s="287">
        <f t="shared" si="18"/>
        <v>74.515197</v>
      </c>
      <c r="R34" s="287">
        <f t="shared" si="18"/>
        <v>125.269216</v>
      </c>
      <c r="S34" s="287">
        <f t="shared" si="18"/>
        <v>-0.145042</v>
      </c>
      <c r="T34" s="287">
        <f t="shared" si="18"/>
        <v>-0.12505</v>
      </c>
      <c r="U34" s="287">
        <f t="shared" si="18"/>
        <v>0.03481</v>
      </c>
      <c r="V34" s="287">
        <f t="shared" si="18"/>
        <v>-0.235282</v>
      </c>
      <c r="W34" s="287">
        <f t="shared" si="18"/>
        <v>-0.366717</v>
      </c>
      <c r="X34" s="287">
        <f t="shared" si="18"/>
        <v>-0.14605</v>
      </c>
      <c r="Y34" s="287">
        <f t="shared" si="18"/>
        <v>0.386425</v>
      </c>
      <c r="Z34" s="287">
        <f t="shared" si="18"/>
        <v>-0.126342</v>
      </c>
      <c r="AA34" s="287">
        <f t="shared" si="18"/>
        <v>0.20799</v>
      </c>
      <c r="AB34" s="287">
        <f t="shared" si="18"/>
        <v>0.2275</v>
      </c>
      <c r="AC34" s="287">
        <f t="shared" si="18"/>
        <v>0.276246</v>
      </c>
      <c r="AD34" s="287">
        <f t="shared" si="18"/>
        <v>0.149085</v>
      </c>
      <c r="AE34" s="287">
        <f t="shared" si="18"/>
        <v>0.025</v>
      </c>
      <c r="AF34" s="287">
        <f t="shared" si="18"/>
        <v>0.044</v>
      </c>
      <c r="AG34" s="287">
        <f t="shared" si="18"/>
        <v>0.021031</v>
      </c>
      <c r="AH34" s="287">
        <f t="shared" si="18"/>
        <v>0.230695</v>
      </c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7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s="3" customFormat="1" ht="18" customHeight="1">
      <c r="A35" s="14"/>
      <c r="C35" s="17" t="s">
        <v>97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9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47" ht="13.5" customHeight="1">
      <c r="A36" s="10"/>
      <c r="B36" s="10"/>
      <c r="C36" s="10"/>
      <c r="D36" s="19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50"/>
      <c r="R36" s="10"/>
      <c r="S36" s="10"/>
      <c r="T36" s="10"/>
      <c r="U36" s="10"/>
      <c r="V36" s="10"/>
      <c r="W36" s="10"/>
      <c r="X36" s="10"/>
      <c r="Y36" s="10"/>
      <c r="Z36" s="10"/>
      <c r="AA36" s="293"/>
      <c r="AB36" s="293"/>
      <c r="AC36" s="293"/>
      <c r="AD36" s="293"/>
      <c r="AE36" s="293"/>
      <c r="AF36" s="293"/>
      <c r="AG36" s="293"/>
      <c r="AH36" s="293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1:47" ht="18" customHeight="1">
      <c r="A37" s="1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1"/>
      <c r="N37" s="21"/>
      <c r="O37" s="21"/>
      <c r="P37" s="69"/>
      <c r="Q37" s="51"/>
      <c r="R37" s="21"/>
      <c r="S37" s="21"/>
      <c r="T37" s="21"/>
      <c r="U37" s="21"/>
      <c r="V37" s="21"/>
      <c r="W37" s="21"/>
      <c r="X37" s="21"/>
      <c r="Y37" s="64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T37" s="16"/>
      <c r="AU37" s="16"/>
    </row>
    <row r="38" spans="1:47" ht="17.25" customHeight="1">
      <c r="A38" s="1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50"/>
      <c r="R38" s="23"/>
      <c r="S38" s="21"/>
      <c r="T38" s="21"/>
      <c r="U38" s="21"/>
      <c r="V38" s="21"/>
      <c r="W38" s="21"/>
      <c r="X38" s="21"/>
      <c r="Y38" s="56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16"/>
      <c r="AT38" s="16"/>
      <c r="AU38" s="16"/>
    </row>
    <row r="39" spans="1:48" ht="18" customHeight="1">
      <c r="A39" s="1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3"/>
      <c r="N39" s="23"/>
      <c r="O39" s="23"/>
      <c r="P39" s="23"/>
      <c r="Q39" s="55"/>
      <c r="R39" s="23"/>
      <c r="S39" s="23"/>
      <c r="T39" s="23"/>
      <c r="U39" s="23"/>
      <c r="V39" s="23"/>
      <c r="W39" s="23"/>
      <c r="X39" s="23"/>
      <c r="Y39" s="56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192"/>
      <c r="AR39" s="23"/>
      <c r="AS39" s="16"/>
      <c r="AV39" s="3"/>
    </row>
    <row r="40" spans="1:48" ht="18" customHeight="1">
      <c r="A40" s="10"/>
      <c r="B40" s="18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55"/>
      <c r="R40" s="23"/>
      <c r="S40" s="23"/>
      <c r="T40" s="23"/>
      <c r="U40" s="23"/>
      <c r="V40" s="23"/>
      <c r="W40" s="23"/>
      <c r="X40" s="23"/>
      <c r="Y40" s="57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192"/>
      <c r="AO40" s="23"/>
      <c r="AP40" s="23"/>
      <c r="AQ40" s="23"/>
      <c r="AR40" s="23"/>
      <c r="AS40" s="23"/>
      <c r="AV40" s="3"/>
    </row>
    <row r="41" spans="1:48" ht="18" customHeight="1">
      <c r="A41" s="10"/>
      <c r="B41" s="18" t="s">
        <v>15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55"/>
      <c r="R41" s="23"/>
      <c r="S41" s="1"/>
      <c r="T41" s="1"/>
      <c r="U41" s="1"/>
      <c r="V41" s="1"/>
      <c r="W41" s="1"/>
      <c r="X41" s="1"/>
      <c r="Y41" s="64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92"/>
      <c r="AO41" s="1"/>
      <c r="AP41" s="1"/>
      <c r="AQ41" s="1"/>
      <c r="AR41" s="1"/>
      <c r="AS41" s="1"/>
      <c r="AV41" s="3"/>
    </row>
    <row r="42" spans="1:40" ht="18" customHeight="1">
      <c r="A42" s="10"/>
      <c r="B42" s="19" t="s">
        <v>58</v>
      </c>
      <c r="C42" s="10"/>
      <c r="Q42" s="51"/>
      <c r="Y42" s="57"/>
      <c r="AN42" s="192"/>
    </row>
    <row r="43" spans="1:29" ht="19.5" customHeight="1">
      <c r="A43" s="5"/>
      <c r="B43" s="19" t="s">
        <v>59</v>
      </c>
      <c r="C43" s="5"/>
      <c r="Q43" s="51"/>
      <c r="Y43" s="57"/>
      <c r="AC43" s="8"/>
    </row>
    <row r="44" spans="1:47" ht="15">
      <c r="A44" s="5"/>
      <c r="B44" s="18" t="s">
        <v>80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55"/>
      <c r="R44" s="13"/>
      <c r="S44" s="13"/>
      <c r="T44" s="13"/>
      <c r="U44" s="13"/>
      <c r="V44" s="13"/>
      <c r="W44" s="13"/>
      <c r="X44" s="13"/>
      <c r="Y44" s="57"/>
      <c r="Z44" s="13"/>
      <c r="AA44" s="13"/>
      <c r="AB44" s="13"/>
      <c r="AC44" s="325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</row>
    <row r="45" spans="1:47" ht="15.7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55"/>
      <c r="R45" s="1"/>
      <c r="S45" s="1"/>
      <c r="T45" s="1"/>
      <c r="U45" s="1"/>
      <c r="V45" s="1"/>
      <c r="W45" s="1"/>
      <c r="X45" s="1"/>
      <c r="Y45" s="56"/>
      <c r="Z45" s="1"/>
      <c r="AA45" s="1"/>
      <c r="AB45" s="1"/>
      <c r="AC45" s="326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5.7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5"/>
      <c r="R46" s="1"/>
      <c r="S46" s="1"/>
      <c r="T46" s="43"/>
      <c r="U46" s="43"/>
      <c r="V46" s="43"/>
      <c r="W46" s="43"/>
      <c r="X46" s="1"/>
      <c r="Y46" s="64"/>
      <c r="Z46" s="1"/>
      <c r="AA46" s="1"/>
      <c r="AB46" s="1"/>
      <c r="AC46" s="32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5.75">
      <c r="A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R47" s="1"/>
      <c r="S47" s="1"/>
      <c r="T47" s="47"/>
      <c r="U47" s="43"/>
      <c r="V47" s="43"/>
      <c r="W47" s="43"/>
      <c r="X47" s="1"/>
      <c r="Y47" s="64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7:25" ht="15" customHeight="1">
      <c r="Q48" s="50"/>
      <c r="T48" s="43"/>
      <c r="U48" s="48"/>
      <c r="V48" s="48"/>
      <c r="W48" s="48"/>
      <c r="Y48" s="57"/>
    </row>
    <row r="49" spans="17:25" ht="15" customHeight="1">
      <c r="Q49" s="50"/>
      <c r="T49" s="48"/>
      <c r="U49" s="43"/>
      <c r="V49" s="43"/>
      <c r="W49" s="43"/>
      <c r="Y49" s="64"/>
    </row>
    <row r="50" spans="5:25" ht="15" customHeight="1">
      <c r="E50" s="451"/>
      <c r="F50" s="8"/>
      <c r="G50" s="8"/>
      <c r="H50" s="8"/>
      <c r="I50" s="8"/>
      <c r="J50" s="8"/>
      <c r="K50" s="451"/>
      <c r="L50" s="451"/>
      <c r="M50" s="451"/>
      <c r="N50" s="451"/>
      <c r="O50" s="451"/>
      <c r="Q50" s="55"/>
      <c r="T50" s="43"/>
      <c r="U50" s="43"/>
      <c r="V50" s="43"/>
      <c r="W50" s="48"/>
      <c r="Y50" s="56"/>
    </row>
    <row r="51" spans="5:25" ht="15" customHeight="1">
      <c r="E51" s="451"/>
      <c r="F51" s="8"/>
      <c r="G51" s="8"/>
      <c r="H51" s="8"/>
      <c r="I51" s="8"/>
      <c r="J51" s="8"/>
      <c r="K51" s="451"/>
      <c r="L51" s="8"/>
      <c r="M51" s="8"/>
      <c r="N51" s="8"/>
      <c r="O51" s="8"/>
      <c r="T51" s="43"/>
      <c r="U51" s="48"/>
      <c r="V51" s="43"/>
      <c r="W51" s="43"/>
      <c r="Y51" s="57"/>
    </row>
    <row r="52" spans="2:25" ht="15" customHeight="1">
      <c r="B52" s="11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T52" s="48"/>
      <c r="U52" s="48"/>
      <c r="V52" s="48"/>
      <c r="W52" s="43"/>
      <c r="Y52" s="57"/>
    </row>
    <row r="53" spans="2:47" ht="18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55"/>
      <c r="R53" s="11"/>
      <c r="S53" s="8"/>
      <c r="T53" s="43"/>
      <c r="U53" s="43"/>
      <c r="V53" s="43"/>
      <c r="W53" s="43"/>
      <c r="X53" s="11"/>
      <c r="Y53" s="57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2:47" ht="18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51"/>
      <c r="R54" s="11"/>
      <c r="S54" s="8"/>
      <c r="T54" s="48"/>
      <c r="U54" s="43"/>
      <c r="V54" s="43"/>
      <c r="W54" s="48"/>
      <c r="X54" s="11"/>
      <c r="Y54" s="57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2:47" ht="18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90"/>
      <c r="S55" s="8"/>
      <c r="T55" s="43"/>
      <c r="U55" s="43"/>
      <c r="V55" s="48"/>
      <c r="W55" s="43"/>
      <c r="X55" s="11"/>
      <c r="Y55" s="64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2:47" ht="18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90"/>
      <c r="P56" s="11"/>
      <c r="R56" s="11"/>
      <c r="S56" s="8"/>
      <c r="T56" s="43"/>
      <c r="U56" s="48"/>
      <c r="V56" s="43"/>
      <c r="W56" s="43"/>
      <c r="X56" s="11"/>
      <c r="Y56" s="64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2:47" ht="18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91"/>
      <c r="P57" s="11"/>
      <c r="R57" s="11"/>
      <c r="S57" s="8"/>
      <c r="T57" s="43"/>
      <c r="U57" s="43"/>
      <c r="V57" s="43"/>
      <c r="W57" s="43"/>
      <c r="X57" s="11"/>
      <c r="Y57" s="56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2:47" ht="18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90"/>
      <c r="P58" s="11"/>
      <c r="Q58" s="50"/>
      <c r="R58" s="11"/>
      <c r="S58" s="8"/>
      <c r="T58" s="43"/>
      <c r="U58" s="43"/>
      <c r="V58" s="43"/>
      <c r="W58" s="43"/>
      <c r="X58" s="11"/>
      <c r="Y58" s="56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</row>
    <row r="59" spans="3:47" ht="18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50"/>
      <c r="R59" s="11"/>
      <c r="S59" s="8"/>
      <c r="T59" s="48"/>
      <c r="U59" s="48"/>
      <c r="V59" s="43"/>
      <c r="W59" s="43"/>
      <c r="X59" s="11"/>
      <c r="Y59" s="56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</row>
    <row r="60" spans="20:25" ht="15">
      <c r="T60" s="47"/>
      <c r="U60" s="43"/>
      <c r="V60" s="43"/>
      <c r="W60" s="43"/>
      <c r="Y60" s="56"/>
    </row>
    <row r="61" spans="17:25" ht="15">
      <c r="Q61" s="50"/>
      <c r="T61" s="48"/>
      <c r="U61" s="43"/>
      <c r="V61" s="48"/>
      <c r="W61" s="43"/>
      <c r="Y61" s="57"/>
    </row>
    <row r="62" spans="20:25" ht="15">
      <c r="T62" s="43"/>
      <c r="U62" s="48"/>
      <c r="V62" s="47"/>
      <c r="W62" s="47"/>
      <c r="Y62" s="56"/>
    </row>
    <row r="63" spans="17:23" ht="15">
      <c r="Q63" s="51"/>
      <c r="T63" s="43"/>
      <c r="U63" s="43"/>
      <c r="V63" s="48"/>
      <c r="W63" s="48"/>
    </row>
    <row r="64" spans="20:23" ht="15">
      <c r="T64" s="43"/>
      <c r="U64" s="48"/>
      <c r="V64" s="43"/>
      <c r="W64" s="43"/>
    </row>
    <row r="65" spans="20:23" ht="15">
      <c r="T65" s="43"/>
      <c r="U65" s="47"/>
      <c r="V65" s="48"/>
      <c r="W65" s="48"/>
    </row>
    <row r="66" spans="17:23" ht="15">
      <c r="Q66" s="51"/>
      <c r="T66" s="43"/>
      <c r="U66" s="43"/>
      <c r="V66" s="43"/>
      <c r="W66" s="48"/>
    </row>
    <row r="67" spans="17:23" ht="15">
      <c r="Q67" s="51"/>
      <c r="T67" s="43"/>
      <c r="U67" s="43"/>
      <c r="V67" s="47"/>
      <c r="W67" s="43"/>
    </row>
    <row r="68" spans="20:23" ht="15">
      <c r="T68" s="43"/>
      <c r="U68" s="43"/>
      <c r="V68" s="43"/>
      <c r="W68" s="47"/>
    </row>
    <row r="69" spans="17:23" ht="15">
      <c r="Q69" s="55"/>
      <c r="T69" s="48"/>
      <c r="U69" s="47"/>
      <c r="V69" s="48"/>
      <c r="W69" s="48"/>
    </row>
    <row r="70" spans="17:23" ht="15">
      <c r="Q70" s="50"/>
      <c r="T70" s="43"/>
      <c r="U70" s="43"/>
      <c r="V70" s="43"/>
      <c r="W70" s="43"/>
    </row>
    <row r="71" spans="17:23" ht="15">
      <c r="Q71" s="50"/>
      <c r="T71" s="48"/>
      <c r="U71" s="43"/>
      <c r="V71" s="43"/>
      <c r="W71" s="43"/>
    </row>
  </sheetData>
  <sheetProtection/>
  <mergeCells count="54">
    <mergeCell ref="L50:O50"/>
    <mergeCell ref="E50:E51"/>
    <mergeCell ref="K50:K51"/>
    <mergeCell ref="S5:V5"/>
    <mergeCell ref="N5:N6"/>
    <mergeCell ref="P5:P6"/>
    <mergeCell ref="R5:R6"/>
    <mergeCell ref="E5:E6"/>
    <mergeCell ref="Q5:Q6"/>
    <mergeCell ref="J5:J6"/>
    <mergeCell ref="A4:A6"/>
    <mergeCell ref="B4:B6"/>
    <mergeCell ref="C5:C6"/>
    <mergeCell ref="D5:D6"/>
    <mergeCell ref="C4:F4"/>
    <mergeCell ref="O4:R4"/>
    <mergeCell ref="W5:Z5"/>
    <mergeCell ref="G4:J4"/>
    <mergeCell ref="G5:G6"/>
    <mergeCell ref="O5:O6"/>
    <mergeCell ref="S4:Z4"/>
    <mergeCell ref="I5:I6"/>
    <mergeCell ref="K4:N4"/>
    <mergeCell ref="AU5:AU6"/>
    <mergeCell ref="AN5:AN6"/>
    <mergeCell ref="AR5:AR6"/>
    <mergeCell ref="F5:F6"/>
    <mergeCell ref="H5:H6"/>
    <mergeCell ref="AN4:AQ4"/>
    <mergeCell ref="AO5:AO6"/>
    <mergeCell ref="L5:L6"/>
    <mergeCell ref="K5:K6"/>
    <mergeCell ref="M5:M6"/>
    <mergeCell ref="AE4:AH4"/>
    <mergeCell ref="AE5:AE6"/>
    <mergeCell ref="AA4:AD4"/>
    <mergeCell ref="AC5:AC6"/>
    <mergeCell ref="AD5:AD6"/>
    <mergeCell ref="AF5:AF6"/>
    <mergeCell ref="AQ5:AQ6"/>
    <mergeCell ref="AS5:AS6"/>
    <mergeCell ref="AT5:AT6"/>
    <mergeCell ref="AG5:AG6"/>
    <mergeCell ref="AJ5:AJ6"/>
    <mergeCell ref="A34:B34"/>
    <mergeCell ref="AR4:AU4"/>
    <mergeCell ref="AL5:AL6"/>
    <mergeCell ref="AP5:AP6"/>
    <mergeCell ref="AB5:AB6"/>
    <mergeCell ref="AA5:AA6"/>
    <mergeCell ref="AI4:AL4"/>
    <mergeCell ref="AI5:AI6"/>
    <mergeCell ref="AK5:AK6"/>
    <mergeCell ref="AH5:AH6"/>
  </mergeCells>
  <conditionalFormatting sqref="AL7:AL32">
    <cfRule type="top10" priority="85" dxfId="3" stopIfTrue="1" rank="5" bottom="1"/>
    <cfRule type="top10" priority="86" dxfId="0" stopIfTrue="1" rank="5"/>
  </conditionalFormatting>
  <conditionalFormatting sqref="AO7:AO34">
    <cfRule type="top10" priority="14" dxfId="3" stopIfTrue="1" rank="5" bottom="1"/>
    <cfRule type="top10" priority="15" dxfId="0" stopIfTrue="1" rank="5"/>
  </conditionalFormatting>
  <conditionalFormatting sqref="AP7:AQ34">
    <cfRule type="top10" priority="12" dxfId="3" stopIfTrue="1" rank="5" bottom="1"/>
    <cfRule type="top10" priority="13" dxfId="0" stopIfTrue="1" rank="5"/>
  </conditionalFormatting>
  <conditionalFormatting sqref="S7:S32">
    <cfRule type="top10" priority="117" dxfId="3" stopIfTrue="1" rank="5" bottom="1"/>
    <cfRule type="top10" priority="118" dxfId="0" stopIfTrue="1" rank="5"/>
  </conditionalFormatting>
  <conditionalFormatting sqref="T7:T32">
    <cfRule type="top10" priority="115" dxfId="3" stopIfTrue="1" rank="5" bottom="1"/>
    <cfRule type="top10" priority="116" dxfId="0" stopIfTrue="1" rank="5"/>
  </conditionalFormatting>
  <conditionalFormatting sqref="U7:U32">
    <cfRule type="top10" priority="113" dxfId="3" stopIfTrue="1" rank="5" bottom="1"/>
    <cfRule type="top10" priority="114" dxfId="0" stopIfTrue="1" rank="5"/>
  </conditionalFormatting>
  <conditionalFormatting sqref="V7:V32">
    <cfRule type="top10" priority="111" dxfId="3" stopIfTrue="1" rank="5" bottom="1"/>
    <cfRule type="top10" priority="112" dxfId="0" stopIfTrue="1" rank="5"/>
  </conditionalFormatting>
  <conditionalFormatting sqref="W7:W32">
    <cfRule type="top10" priority="108" dxfId="3" stopIfTrue="1" rank="5" bottom="1"/>
    <cfRule type="top10" priority="109" dxfId="61" stopIfTrue="1" rank="5" bottom="1"/>
    <cfRule type="top10" priority="110" dxfId="0" stopIfTrue="1" rank="5"/>
  </conditionalFormatting>
  <conditionalFormatting sqref="X7:X32">
    <cfRule type="top10" priority="106" dxfId="3" stopIfTrue="1" rank="5" bottom="1"/>
    <cfRule type="top10" priority="107" dxfId="0" stopIfTrue="1" rank="5"/>
  </conditionalFormatting>
  <conditionalFormatting sqref="Y7:Y32">
    <cfRule type="top10" priority="104" dxfId="3" stopIfTrue="1" rank="5" bottom="1"/>
    <cfRule type="top10" priority="105" dxfId="0" stopIfTrue="1" rank="5"/>
  </conditionalFormatting>
  <conditionalFormatting sqref="Z7:Z32">
    <cfRule type="top10" priority="102" dxfId="3" stopIfTrue="1" rank="5" bottom="1"/>
    <cfRule type="top10" priority="103" dxfId="0" stopIfTrue="1" rank="5"/>
  </conditionalFormatting>
  <conditionalFormatting sqref="AJ7:AK32 AJ34:AK34">
    <cfRule type="top10" priority="89" dxfId="3" stopIfTrue="1" rank="5" bottom="1"/>
    <cfRule type="top10" priority="90" dxfId="0" stopIfTrue="1" rank="5"/>
  </conditionalFormatting>
  <conditionalFormatting sqref="AK7:AK32 AK34">
    <cfRule type="top10" priority="87" dxfId="3" stopIfTrue="1" rank="5" bottom="1"/>
    <cfRule type="top10" priority="88" dxfId="0" stopIfTrue="1" rank="5"/>
  </conditionalFormatting>
  <conditionalFormatting sqref="AN7:AN34 AO14:AP14 AO15:AO34 AO7:AO13 AP7:AQ34">
    <cfRule type="top10" priority="91" dxfId="3" stopIfTrue="1" rank="5" bottom="1"/>
    <cfRule type="top10" priority="92" dxfId="0" stopIfTrue="1" rank="5"/>
  </conditionalFormatting>
  <printOptions/>
  <pageMargins left="0.07874015748031496" right="0.07874015748031496" top="0.5118110236220472" bottom="0.5118110236220472" header="0.2362204724409449" footer="0.2362204724409449"/>
  <pageSetup horizontalDpi="600" verticalDpi="600" orientation="landscape" paperSize="9" scale="66" r:id="rId3"/>
  <legacyDrawing r:id="rId2"/>
  <oleObjects>
    <oleObject progId="Word.Picture.8" shapeId="7641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G60"/>
  <sheetViews>
    <sheetView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F4" sqref="AF4"/>
    </sheetView>
  </sheetViews>
  <sheetFormatPr defaultColWidth="7.8515625" defaultRowHeight="12.75"/>
  <cols>
    <col min="1" max="1" width="4.8515625" style="125" customWidth="1"/>
    <col min="2" max="2" width="12.57421875" style="125" customWidth="1"/>
    <col min="3" max="3" width="10.00390625" style="125" customWidth="1"/>
    <col min="4" max="4" width="6.8515625" style="125" customWidth="1"/>
    <col min="5" max="5" width="11.7109375" style="125" hidden="1" customWidth="1"/>
    <col min="6" max="6" width="10.140625" style="125" bestFit="1" customWidth="1"/>
    <col min="7" max="7" width="8.140625" style="125" customWidth="1"/>
    <col min="8" max="8" width="11.7109375" style="125" customWidth="1"/>
    <col min="9" max="11" width="11.7109375" style="125" hidden="1" customWidth="1"/>
    <col min="12" max="12" width="10.140625" style="125" bestFit="1" customWidth="1"/>
    <col min="13" max="13" width="7.28125" style="125" customWidth="1"/>
    <col min="14" max="14" width="10.140625" style="125" bestFit="1" customWidth="1"/>
    <col min="15" max="20" width="8.7109375" style="125" customWidth="1"/>
    <col min="21" max="23" width="11.7109375" style="125" hidden="1" customWidth="1"/>
    <col min="24" max="24" width="10.421875" style="125" hidden="1" customWidth="1"/>
    <col min="25" max="25" width="10.28125" style="125" hidden="1" customWidth="1"/>
    <col min="26" max="26" width="11.7109375" style="125" hidden="1" customWidth="1"/>
    <col min="27" max="27" width="11.8515625" style="125" customWidth="1"/>
    <col min="28" max="28" width="12.28125" style="125" customWidth="1"/>
    <col min="29" max="29" width="13.7109375" style="125" customWidth="1"/>
    <col min="30" max="16384" width="7.8515625" style="125" customWidth="1"/>
  </cols>
  <sheetData>
    <row r="1" spans="1:26" ht="12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316" t="s">
        <v>132</v>
      </c>
    </row>
    <row r="2" spans="1:24" ht="16.5" customHeight="1">
      <c r="A2" s="133" t="s">
        <v>208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6" ht="9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32" ht="19.5" customHeight="1">
      <c r="A4" s="453" t="s">
        <v>18</v>
      </c>
      <c r="B4" s="453" t="s">
        <v>17</v>
      </c>
      <c r="C4" s="457" t="s">
        <v>138</v>
      </c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2" t="s">
        <v>139</v>
      </c>
      <c r="V4" s="452"/>
      <c r="W4" s="452"/>
      <c r="X4" s="452"/>
      <c r="Y4" s="452"/>
      <c r="Z4" s="453" t="s">
        <v>170</v>
      </c>
      <c r="AA4" s="458" t="s">
        <v>147</v>
      </c>
      <c r="AB4" s="458"/>
      <c r="AC4" s="452" t="s">
        <v>210</v>
      </c>
      <c r="AF4" s="136"/>
    </row>
    <row r="5" spans="1:32" ht="15" customHeight="1">
      <c r="A5" s="454"/>
      <c r="B5" s="454"/>
      <c r="C5" s="452" t="s">
        <v>219</v>
      </c>
      <c r="D5" s="452"/>
      <c r="E5" s="452"/>
      <c r="F5" s="452" t="s">
        <v>188</v>
      </c>
      <c r="G5" s="452"/>
      <c r="H5" s="452"/>
      <c r="I5" s="452" t="s">
        <v>218</v>
      </c>
      <c r="J5" s="452"/>
      <c r="K5" s="452"/>
      <c r="L5" s="452" t="s">
        <v>209</v>
      </c>
      <c r="M5" s="452"/>
      <c r="N5" s="452"/>
      <c r="O5" s="456" t="s">
        <v>89</v>
      </c>
      <c r="P5" s="457"/>
      <c r="Q5" s="457"/>
      <c r="R5" s="457"/>
      <c r="S5" s="457"/>
      <c r="T5" s="457"/>
      <c r="U5" s="453" t="s">
        <v>168</v>
      </c>
      <c r="V5" s="453" t="s">
        <v>76</v>
      </c>
      <c r="W5" s="453" t="s">
        <v>169</v>
      </c>
      <c r="X5" s="452" t="s">
        <v>88</v>
      </c>
      <c r="Y5" s="452"/>
      <c r="Z5" s="454"/>
      <c r="AA5" s="458"/>
      <c r="AB5" s="458"/>
      <c r="AC5" s="452"/>
      <c r="AF5"/>
    </row>
    <row r="6" spans="1:32" ht="22.5" customHeight="1">
      <c r="A6" s="454"/>
      <c r="B6" s="454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 t="s">
        <v>0</v>
      </c>
      <c r="P6" s="452"/>
      <c r="Q6" s="452"/>
      <c r="R6" s="452" t="s">
        <v>177</v>
      </c>
      <c r="S6" s="452"/>
      <c r="T6" s="452"/>
      <c r="U6" s="454"/>
      <c r="V6" s="454"/>
      <c r="W6" s="454"/>
      <c r="X6" s="453" t="s">
        <v>0</v>
      </c>
      <c r="Y6" s="453" t="s">
        <v>167</v>
      </c>
      <c r="Z6" s="454"/>
      <c r="AA6" s="459" t="s">
        <v>14</v>
      </c>
      <c r="AB6" s="459" t="s">
        <v>187</v>
      </c>
      <c r="AC6" s="452"/>
      <c r="AF6" s="136"/>
    </row>
    <row r="7" spans="1:31" ht="20.25" customHeight="1">
      <c r="A7" s="455"/>
      <c r="B7" s="455"/>
      <c r="C7" s="135" t="s">
        <v>171</v>
      </c>
      <c r="D7" s="135" t="s">
        <v>172</v>
      </c>
      <c r="E7" s="135" t="s">
        <v>2</v>
      </c>
      <c r="F7" s="135" t="s">
        <v>171</v>
      </c>
      <c r="G7" s="135" t="s">
        <v>172</v>
      </c>
      <c r="H7" s="135" t="s">
        <v>2</v>
      </c>
      <c r="I7" s="135" t="s">
        <v>171</v>
      </c>
      <c r="J7" s="135" t="s">
        <v>172</v>
      </c>
      <c r="K7" s="135" t="s">
        <v>2</v>
      </c>
      <c r="L7" s="135" t="s">
        <v>171</v>
      </c>
      <c r="M7" s="135" t="s">
        <v>172</v>
      </c>
      <c r="N7" s="135" t="s">
        <v>2</v>
      </c>
      <c r="O7" s="135" t="s">
        <v>171</v>
      </c>
      <c r="P7" s="135" t="s">
        <v>172</v>
      </c>
      <c r="Q7" s="135" t="s">
        <v>2</v>
      </c>
      <c r="R7" s="135" t="s">
        <v>171</v>
      </c>
      <c r="S7" s="135" t="s">
        <v>172</v>
      </c>
      <c r="T7" s="135" t="s">
        <v>2</v>
      </c>
      <c r="U7" s="455"/>
      <c r="V7" s="455"/>
      <c r="W7" s="455"/>
      <c r="X7" s="455"/>
      <c r="Y7" s="455"/>
      <c r="Z7" s="455"/>
      <c r="AA7" s="459"/>
      <c r="AB7" s="459"/>
      <c r="AC7" s="452"/>
      <c r="AD7" s="392"/>
      <c r="AE7" s="136"/>
    </row>
    <row r="8" spans="1:32" ht="21" customHeight="1">
      <c r="A8" s="59">
        <v>1</v>
      </c>
      <c r="B8" s="44" t="s">
        <v>39</v>
      </c>
      <c r="C8" s="35">
        <v>6083</v>
      </c>
      <c r="D8" s="35">
        <v>1</v>
      </c>
      <c r="E8" s="35">
        <f>SUM(C8:D8)</f>
        <v>6084</v>
      </c>
      <c r="F8" s="35">
        <v>1700</v>
      </c>
      <c r="G8" s="35">
        <v>261</v>
      </c>
      <c r="H8" s="35">
        <f aca="true" t="shared" si="0" ref="H8:H33">SUM(F8:G8)</f>
        <v>1961</v>
      </c>
      <c r="I8" s="35">
        <v>6146</v>
      </c>
      <c r="J8" s="35">
        <v>1</v>
      </c>
      <c r="K8" s="35">
        <f>SUM(I8:J8)</f>
        <v>6147</v>
      </c>
      <c r="L8" s="35">
        <v>6207</v>
      </c>
      <c r="M8" s="35">
        <v>1</v>
      </c>
      <c r="N8" s="35">
        <f aca="true" t="shared" si="1" ref="N8:N33">L8+M8</f>
        <v>6208</v>
      </c>
      <c r="O8" s="35">
        <f aca="true" t="shared" si="2" ref="O8:O33">L8-I8</f>
        <v>61</v>
      </c>
      <c r="P8" s="35">
        <f aca="true" t="shared" si="3" ref="P8:P33">M8-J8</f>
        <v>0</v>
      </c>
      <c r="Q8" s="35">
        <f>O8+P8</f>
        <v>61</v>
      </c>
      <c r="R8" s="35">
        <f aca="true" t="shared" si="4" ref="R8:R33">L8-C8</f>
        <v>124</v>
      </c>
      <c r="S8" s="35">
        <f>M8-D8</f>
        <v>0</v>
      </c>
      <c r="T8" s="35">
        <f>R8+S8</f>
        <v>124</v>
      </c>
      <c r="U8" s="35">
        <v>7100</v>
      </c>
      <c r="V8" s="35">
        <v>7100</v>
      </c>
      <c r="W8" s="35">
        <v>7100</v>
      </c>
      <c r="X8" s="35">
        <f aca="true" t="shared" si="5" ref="X8:X33">W8-V8</f>
        <v>0</v>
      </c>
      <c r="Y8" s="35">
        <f aca="true" t="shared" si="6" ref="Y8:Y33">W8-U8</f>
        <v>0</v>
      </c>
      <c r="Z8" s="181">
        <f aca="true" t="shared" si="7" ref="Z8:Z34">L8/W8*100</f>
        <v>87.4225352112676</v>
      </c>
      <c r="AA8" s="35">
        <f>O8+P8+'May 12(7)'!V8</f>
        <v>79</v>
      </c>
      <c r="AB8" s="35">
        <f>T8+'May 12(7)'!Z8</f>
        <v>187</v>
      </c>
      <c r="AC8" s="35">
        <f>N8+'May 12(7)'!R8</f>
        <v>7851</v>
      </c>
      <c r="AD8" s="391"/>
      <c r="AE8" s="183">
        <f>AA8/(F8+G8+'May 12(7)'!H8+'May 12(7)'!I8)*100</f>
        <v>3.2604209657449443</v>
      </c>
      <c r="AF8" s="181">
        <f>AB8/(O8+'[1]Mar 11(7)'!U8)*100</f>
        <v>306.55737704918033</v>
      </c>
    </row>
    <row r="9" spans="1:32" ht="21" customHeight="1">
      <c r="A9" s="60">
        <v>2</v>
      </c>
      <c r="B9" s="45" t="s">
        <v>65</v>
      </c>
      <c r="C9" s="33">
        <v>922385</v>
      </c>
      <c r="D9" s="33">
        <v>542</v>
      </c>
      <c r="E9" s="33">
        <f aca="true" t="shared" si="8" ref="E9:E33">SUM(C9:D9)</f>
        <v>922927</v>
      </c>
      <c r="F9" s="33">
        <v>235800</v>
      </c>
      <c r="G9" s="33">
        <v>17624</v>
      </c>
      <c r="H9" s="33">
        <f t="shared" si="0"/>
        <v>253424</v>
      </c>
      <c r="I9" s="33">
        <v>931814</v>
      </c>
      <c r="J9" s="33">
        <v>589</v>
      </c>
      <c r="K9" s="33">
        <f aca="true" t="shared" si="9" ref="K9:K33">SUM(I9:J9)</f>
        <v>932403</v>
      </c>
      <c r="L9" s="33">
        <v>944076</v>
      </c>
      <c r="M9" s="33">
        <v>661</v>
      </c>
      <c r="N9" s="33">
        <f t="shared" si="1"/>
        <v>944737</v>
      </c>
      <c r="O9" s="33">
        <f t="shared" si="2"/>
        <v>12262</v>
      </c>
      <c r="P9" s="33">
        <f t="shared" si="3"/>
        <v>72</v>
      </c>
      <c r="Q9" s="33">
        <f aca="true" t="shared" si="10" ref="Q9:Q33">O9+P9</f>
        <v>12334</v>
      </c>
      <c r="R9" s="33">
        <f t="shared" si="4"/>
        <v>21691</v>
      </c>
      <c r="S9" s="33">
        <f aca="true" t="shared" si="11" ref="S9:S33">M9-D9</f>
        <v>119</v>
      </c>
      <c r="T9" s="33">
        <f aca="true" t="shared" si="12" ref="T9:T33">R9+S9</f>
        <v>21810</v>
      </c>
      <c r="U9" s="33">
        <v>840364</v>
      </c>
      <c r="V9" s="33">
        <v>840364</v>
      </c>
      <c r="W9" s="33">
        <v>854156</v>
      </c>
      <c r="X9" s="33">
        <f t="shared" si="5"/>
        <v>13792</v>
      </c>
      <c r="Y9" s="33">
        <f t="shared" si="6"/>
        <v>13792</v>
      </c>
      <c r="Z9" s="182">
        <f t="shared" si="7"/>
        <v>110.52735097569999</v>
      </c>
      <c r="AA9" s="33">
        <f>O9+P9+'May 12(7)'!V9</f>
        <v>12519</v>
      </c>
      <c r="AB9" s="33">
        <f>T9+'May 12(7)'!Z9</f>
        <v>22089</v>
      </c>
      <c r="AC9" s="33">
        <f>N9+'May 12(7)'!R9</f>
        <v>948210</v>
      </c>
      <c r="AE9" s="181">
        <f>AA9/(F9+G9+'May 12(7)'!H9+'May 12(7)'!I9)*100</f>
        <v>4.726308993917978</v>
      </c>
      <c r="AF9" s="181">
        <f>AB9/(O9+'[1]Mar 11(7)'!U9)*100</f>
        <v>179.98044487900268</v>
      </c>
    </row>
    <row r="10" spans="1:32" ht="21" customHeight="1">
      <c r="A10" s="61">
        <v>3</v>
      </c>
      <c r="B10" s="46" t="s">
        <v>3</v>
      </c>
      <c r="C10" s="34">
        <v>84849</v>
      </c>
      <c r="D10" s="34">
        <v>6</v>
      </c>
      <c r="E10" s="34">
        <f t="shared" si="8"/>
        <v>84855</v>
      </c>
      <c r="F10" s="34">
        <v>29500</v>
      </c>
      <c r="G10" s="34">
        <v>1178</v>
      </c>
      <c r="H10" s="34">
        <f t="shared" si="0"/>
        <v>30678</v>
      </c>
      <c r="I10" s="34">
        <v>85719</v>
      </c>
      <c r="J10" s="34">
        <v>6</v>
      </c>
      <c r="K10" s="34">
        <f t="shared" si="9"/>
        <v>85725</v>
      </c>
      <c r="L10" s="34">
        <v>86566</v>
      </c>
      <c r="M10" s="34">
        <v>6</v>
      </c>
      <c r="N10" s="34">
        <f t="shared" si="1"/>
        <v>86572</v>
      </c>
      <c r="O10" s="34">
        <f t="shared" si="2"/>
        <v>847</v>
      </c>
      <c r="P10" s="34">
        <f t="shared" si="3"/>
        <v>0</v>
      </c>
      <c r="Q10" s="34">
        <f t="shared" si="10"/>
        <v>847</v>
      </c>
      <c r="R10" s="34">
        <f t="shared" si="4"/>
        <v>1717</v>
      </c>
      <c r="S10" s="34">
        <f t="shared" si="11"/>
        <v>0</v>
      </c>
      <c r="T10" s="34">
        <f t="shared" si="12"/>
        <v>1717</v>
      </c>
      <c r="U10" s="34">
        <v>103072</v>
      </c>
      <c r="V10" s="34">
        <v>103072</v>
      </c>
      <c r="W10" s="34">
        <v>114032</v>
      </c>
      <c r="X10" s="34">
        <f t="shared" si="5"/>
        <v>10960</v>
      </c>
      <c r="Y10" s="34">
        <f t="shared" si="6"/>
        <v>10960</v>
      </c>
      <c r="Z10" s="183">
        <f t="shared" si="7"/>
        <v>75.9137785884664</v>
      </c>
      <c r="AA10" s="34">
        <f>O10+P10+'May 12(7)'!V10</f>
        <v>531</v>
      </c>
      <c r="AB10" s="34">
        <f>T10+'May 12(7)'!Z10</f>
        <v>2225</v>
      </c>
      <c r="AC10" s="34">
        <f>N10+'May 12(7)'!R10</f>
        <v>94813</v>
      </c>
      <c r="AE10" s="181">
        <f>AA10/(F10+G10+'May 12(7)'!H10+'May 12(7)'!I10)*100</f>
        <v>1.4204317470507983</v>
      </c>
      <c r="AF10" s="181">
        <f>AB10/(O10+'[1]Mar 11(7)'!U10)*100</f>
        <v>256.33640552995394</v>
      </c>
    </row>
    <row r="11" spans="1:32" ht="21" customHeight="1">
      <c r="A11" s="59">
        <v>4</v>
      </c>
      <c r="B11" s="44" t="s">
        <v>31</v>
      </c>
      <c r="C11" s="35">
        <v>96013</v>
      </c>
      <c r="D11" s="35">
        <v>72</v>
      </c>
      <c r="E11" s="35">
        <f t="shared" si="8"/>
        <v>96085</v>
      </c>
      <c r="F11" s="35">
        <v>35000</v>
      </c>
      <c r="G11" s="35">
        <v>7033</v>
      </c>
      <c r="H11" s="35">
        <f>SUM(F11:G11)</f>
        <v>42033</v>
      </c>
      <c r="I11" s="35">
        <v>97048</v>
      </c>
      <c r="J11" s="35">
        <v>81</v>
      </c>
      <c r="K11" s="35">
        <f t="shared" si="9"/>
        <v>97129</v>
      </c>
      <c r="L11" s="35">
        <v>98583</v>
      </c>
      <c r="M11" s="35">
        <v>84</v>
      </c>
      <c r="N11" s="35">
        <f t="shared" si="1"/>
        <v>98667</v>
      </c>
      <c r="O11" s="35">
        <f t="shared" si="2"/>
        <v>1535</v>
      </c>
      <c r="P11" s="35">
        <f t="shared" si="3"/>
        <v>3</v>
      </c>
      <c r="Q11" s="35">
        <f t="shared" si="10"/>
        <v>1538</v>
      </c>
      <c r="R11" s="35">
        <f t="shared" si="4"/>
        <v>2570</v>
      </c>
      <c r="S11" s="35">
        <f t="shared" si="11"/>
        <v>12</v>
      </c>
      <c r="T11" s="35">
        <f t="shared" si="12"/>
        <v>2582</v>
      </c>
      <c r="U11" s="35">
        <v>205268</v>
      </c>
      <c r="V11" s="35">
        <v>205268</v>
      </c>
      <c r="W11" s="35">
        <v>217908</v>
      </c>
      <c r="X11" s="35">
        <f t="shared" si="5"/>
        <v>12640</v>
      </c>
      <c r="Y11" s="35">
        <f t="shared" si="6"/>
        <v>12640</v>
      </c>
      <c r="Z11" s="181">
        <f t="shared" si="7"/>
        <v>45.240652018282944</v>
      </c>
      <c r="AA11" s="35">
        <f>O11+P11+'May 12(7)'!V11</f>
        <v>1798</v>
      </c>
      <c r="AB11" s="35">
        <f>T11+'May 12(7)'!Z11</f>
        <v>3953</v>
      </c>
      <c r="AC11" s="35">
        <f>N11+'May 12(7)'!R11</f>
        <v>102864</v>
      </c>
      <c r="AE11" s="181">
        <f>AA11/(F11+G11+'May 12(7)'!H11+'May 12(7)'!I11)*100</f>
        <v>3.157820787523271</v>
      </c>
      <c r="AF11" s="181">
        <f>AB11/(O11+'[1]Mar 11(7)'!U11)*100</f>
        <v>257.0221066319896</v>
      </c>
    </row>
    <row r="12" spans="1:32" ht="21" customHeight="1">
      <c r="A12" s="60">
        <v>5</v>
      </c>
      <c r="B12" s="45" t="s">
        <v>5</v>
      </c>
      <c r="C12" s="33">
        <v>88809</v>
      </c>
      <c r="D12" s="33">
        <v>23</v>
      </c>
      <c r="E12" s="33">
        <f t="shared" si="8"/>
        <v>88832</v>
      </c>
      <c r="F12" s="33">
        <v>23600</v>
      </c>
      <c r="G12" s="33">
        <v>7476</v>
      </c>
      <c r="H12" s="33">
        <f t="shared" si="0"/>
        <v>31076</v>
      </c>
      <c r="I12" s="33">
        <v>89633</v>
      </c>
      <c r="J12" s="33">
        <v>24</v>
      </c>
      <c r="K12" s="33">
        <f t="shared" si="9"/>
        <v>89657</v>
      </c>
      <c r="L12" s="33">
        <v>90696</v>
      </c>
      <c r="M12" s="33">
        <v>24</v>
      </c>
      <c r="N12" s="33">
        <f t="shared" si="1"/>
        <v>90720</v>
      </c>
      <c r="O12" s="33">
        <f t="shared" si="2"/>
        <v>1063</v>
      </c>
      <c r="P12" s="33">
        <f t="shared" si="3"/>
        <v>0</v>
      </c>
      <c r="Q12" s="33">
        <f t="shared" si="10"/>
        <v>1063</v>
      </c>
      <c r="R12" s="33">
        <f t="shared" si="4"/>
        <v>1887</v>
      </c>
      <c r="S12" s="33">
        <f t="shared" si="11"/>
        <v>1</v>
      </c>
      <c r="T12" s="33">
        <f t="shared" si="12"/>
        <v>1888</v>
      </c>
      <c r="U12" s="33">
        <v>97932</v>
      </c>
      <c r="V12" s="33">
        <v>97932</v>
      </c>
      <c r="W12" s="33">
        <v>100844</v>
      </c>
      <c r="X12" s="33">
        <f t="shared" si="5"/>
        <v>2912</v>
      </c>
      <c r="Y12" s="33">
        <f t="shared" si="6"/>
        <v>2912</v>
      </c>
      <c r="Z12" s="182">
        <f t="shared" si="7"/>
        <v>89.93693229146008</v>
      </c>
      <c r="AA12" s="33">
        <f>O12+P12+'May 12(7)'!V12</f>
        <v>981</v>
      </c>
      <c r="AB12" s="33">
        <f>T12+'May 12(7)'!Z12</f>
        <v>1761</v>
      </c>
      <c r="AC12" s="33">
        <f>N12+'May 12(7)'!R12</f>
        <v>96011</v>
      </c>
      <c r="AE12" s="181">
        <f>AA12/(F12+G12+'May 12(7)'!H12+'May 12(7)'!I12)*100</f>
        <v>2.526006797816459</v>
      </c>
      <c r="AF12" s="181">
        <f>AB12/(O12+'[1]Mar 11(7)'!U12)*100</f>
        <v>164.57943925233644</v>
      </c>
    </row>
    <row r="13" spans="1:32" ht="21" customHeight="1">
      <c r="A13" s="61">
        <v>6</v>
      </c>
      <c r="B13" s="46" t="s">
        <v>32</v>
      </c>
      <c r="C13" s="34">
        <v>585093</v>
      </c>
      <c r="D13" s="34">
        <v>371</v>
      </c>
      <c r="E13" s="34">
        <f t="shared" si="8"/>
        <v>585464</v>
      </c>
      <c r="F13" s="34">
        <v>226270</v>
      </c>
      <c r="G13" s="34">
        <v>11614</v>
      </c>
      <c r="H13" s="34">
        <f>SUM(F13:G13)</f>
        <v>237884</v>
      </c>
      <c r="I13" s="34">
        <v>591343</v>
      </c>
      <c r="J13" s="34">
        <v>383</v>
      </c>
      <c r="K13" s="34">
        <f t="shared" si="9"/>
        <v>591726</v>
      </c>
      <c r="L13" s="34">
        <v>598162</v>
      </c>
      <c r="M13" s="34">
        <v>400</v>
      </c>
      <c r="N13" s="34">
        <f t="shared" si="1"/>
        <v>598562</v>
      </c>
      <c r="O13" s="34">
        <f t="shared" si="2"/>
        <v>6819</v>
      </c>
      <c r="P13" s="34">
        <f t="shared" si="3"/>
        <v>17</v>
      </c>
      <c r="Q13" s="34">
        <f t="shared" si="10"/>
        <v>6836</v>
      </c>
      <c r="R13" s="34">
        <f t="shared" si="4"/>
        <v>13069</v>
      </c>
      <c r="S13" s="34">
        <f t="shared" si="11"/>
        <v>29</v>
      </c>
      <c r="T13" s="34">
        <f t="shared" si="12"/>
        <v>13098</v>
      </c>
      <c r="U13" s="34">
        <v>539596</v>
      </c>
      <c r="V13" s="34">
        <v>539596</v>
      </c>
      <c r="W13" s="34">
        <v>609852</v>
      </c>
      <c r="X13" s="34">
        <f t="shared" si="5"/>
        <v>70256</v>
      </c>
      <c r="Y13" s="34">
        <f t="shared" si="6"/>
        <v>70256</v>
      </c>
      <c r="Z13" s="183">
        <f t="shared" si="7"/>
        <v>98.08314148350748</v>
      </c>
      <c r="AA13" s="34">
        <f>O13+P13+'May 12(7)'!V13</f>
        <v>6746</v>
      </c>
      <c r="AB13" s="34">
        <f>T13+'May 12(7)'!Z13</f>
        <v>12827</v>
      </c>
      <c r="AC13" s="34">
        <f>N13+'May 12(7)'!R13</f>
        <v>603804</v>
      </c>
      <c r="AE13" s="181">
        <f>AA13/(F13+G13+'May 12(7)'!H13+'May 12(7)'!I13)*100</f>
        <v>2.7885942938399597</v>
      </c>
      <c r="AF13" s="181">
        <f>AB13/(O13+'[1]Mar 11(7)'!U13)*100</f>
        <v>188.24479013795127</v>
      </c>
    </row>
    <row r="14" spans="1:33" ht="21" customHeight="1">
      <c r="A14" s="59">
        <v>7</v>
      </c>
      <c r="B14" s="44" t="s">
        <v>66</v>
      </c>
      <c r="C14" s="35">
        <v>271650</v>
      </c>
      <c r="D14" s="35">
        <v>162</v>
      </c>
      <c r="E14" s="35">
        <f t="shared" si="8"/>
        <v>271812</v>
      </c>
      <c r="F14" s="35">
        <v>100000</v>
      </c>
      <c r="G14" s="35">
        <v>18386</v>
      </c>
      <c r="H14" s="35">
        <f t="shared" si="0"/>
        <v>118386</v>
      </c>
      <c r="I14" s="35">
        <v>274586</v>
      </c>
      <c r="J14" s="35">
        <v>196</v>
      </c>
      <c r="K14" s="35">
        <f t="shared" si="9"/>
        <v>274782</v>
      </c>
      <c r="L14" s="35">
        <v>277914</v>
      </c>
      <c r="M14" s="35">
        <v>211</v>
      </c>
      <c r="N14" s="35">
        <f t="shared" si="1"/>
        <v>278125</v>
      </c>
      <c r="O14" s="35">
        <f t="shared" si="2"/>
        <v>3328</v>
      </c>
      <c r="P14" s="35">
        <f t="shared" si="3"/>
        <v>15</v>
      </c>
      <c r="Q14" s="35">
        <f t="shared" si="10"/>
        <v>3343</v>
      </c>
      <c r="R14" s="35">
        <f t="shared" si="4"/>
        <v>6264</v>
      </c>
      <c r="S14" s="35">
        <f t="shared" si="11"/>
        <v>49</v>
      </c>
      <c r="T14" s="35">
        <f t="shared" si="12"/>
        <v>6313</v>
      </c>
      <c r="U14" s="35">
        <v>207952</v>
      </c>
      <c r="V14" s="35">
        <v>207952</v>
      </c>
      <c r="W14" s="35">
        <v>207952</v>
      </c>
      <c r="X14" s="35">
        <f t="shared" si="5"/>
        <v>0</v>
      </c>
      <c r="Y14" s="35">
        <f t="shared" si="6"/>
        <v>0</v>
      </c>
      <c r="Z14" s="181">
        <f t="shared" si="7"/>
        <v>133.64334077094716</v>
      </c>
      <c r="AA14" s="35">
        <f>O14+P14+'May 12(7)'!V14</f>
        <v>3386</v>
      </c>
      <c r="AB14" s="35">
        <f>T14+'May 12(7)'!Z14</f>
        <v>6488</v>
      </c>
      <c r="AC14" s="35">
        <f>N14+'May 12(7)'!R14</f>
        <v>280659</v>
      </c>
      <c r="AD14" s="391"/>
      <c r="AE14" s="181">
        <f>AA14/(F14+G14+'May 12(7)'!H14+'May 12(7)'!I14)*100</f>
        <v>2.7646232731310625</v>
      </c>
      <c r="AF14" s="393">
        <f>AB14/(O14+'[1]Mar 11(7)'!U14)*100</f>
        <v>192.4651438742213</v>
      </c>
      <c r="AG14" s="136"/>
    </row>
    <row r="15" spans="1:32" ht="21" customHeight="1">
      <c r="A15" s="60">
        <v>8</v>
      </c>
      <c r="B15" s="45" t="s">
        <v>67</v>
      </c>
      <c r="C15" s="33">
        <v>79011</v>
      </c>
      <c r="D15" s="33">
        <v>2</v>
      </c>
      <c r="E15" s="33">
        <f t="shared" si="8"/>
        <v>79013</v>
      </c>
      <c r="F15" s="33">
        <v>35300</v>
      </c>
      <c r="G15" s="33">
        <v>260</v>
      </c>
      <c r="H15" s="33">
        <f t="shared" si="0"/>
        <v>35560</v>
      </c>
      <c r="I15" s="33">
        <v>79952</v>
      </c>
      <c r="J15" s="33">
        <v>2</v>
      </c>
      <c r="K15" s="33">
        <f t="shared" si="9"/>
        <v>79954</v>
      </c>
      <c r="L15" s="33">
        <v>81218</v>
      </c>
      <c r="M15" s="33">
        <v>2</v>
      </c>
      <c r="N15" s="33">
        <f t="shared" si="1"/>
        <v>81220</v>
      </c>
      <c r="O15" s="33">
        <f t="shared" si="2"/>
        <v>1266</v>
      </c>
      <c r="P15" s="33">
        <f t="shared" si="3"/>
        <v>0</v>
      </c>
      <c r="Q15" s="33">
        <f t="shared" si="10"/>
        <v>1266</v>
      </c>
      <c r="R15" s="33">
        <f t="shared" si="4"/>
        <v>2207</v>
      </c>
      <c r="S15" s="33">
        <f t="shared" si="11"/>
        <v>0</v>
      </c>
      <c r="T15" s="33">
        <f t="shared" si="12"/>
        <v>2207</v>
      </c>
      <c r="U15" s="33">
        <v>86980</v>
      </c>
      <c r="V15" s="33">
        <v>86980</v>
      </c>
      <c r="W15" s="33">
        <v>92884</v>
      </c>
      <c r="X15" s="33">
        <f t="shared" si="5"/>
        <v>5904</v>
      </c>
      <c r="Y15" s="33">
        <f t="shared" si="6"/>
        <v>5904</v>
      </c>
      <c r="Z15" s="182">
        <f t="shared" si="7"/>
        <v>87.44024805133284</v>
      </c>
      <c r="AA15" s="33">
        <f>O15+P15+'May 12(7)'!V15</f>
        <v>1321</v>
      </c>
      <c r="AB15" s="33">
        <f>T15+'May 12(7)'!Z15</f>
        <v>2285</v>
      </c>
      <c r="AC15" s="33">
        <f>N15+'May 12(7)'!R15</f>
        <v>83201</v>
      </c>
      <c r="AE15" s="181">
        <f>AA15/(F15+G15+'May 12(7)'!H15+'May 12(7)'!I15)*100</f>
        <v>3.385009609224856</v>
      </c>
      <c r="AF15" s="181">
        <f>AB15/(O15+'[1]Mar 11(7)'!U15)*100</f>
        <v>180.48973143759875</v>
      </c>
    </row>
    <row r="16" spans="1:32" ht="21" customHeight="1">
      <c r="A16" s="61">
        <v>9</v>
      </c>
      <c r="B16" s="46" t="s">
        <v>33</v>
      </c>
      <c r="C16" s="34">
        <v>64042</v>
      </c>
      <c r="D16" s="34">
        <v>8</v>
      </c>
      <c r="E16" s="34">
        <f t="shared" si="8"/>
        <v>64050</v>
      </c>
      <c r="F16" s="34">
        <v>21500</v>
      </c>
      <c r="G16" s="34">
        <v>254</v>
      </c>
      <c r="H16" s="34">
        <f t="shared" si="0"/>
        <v>21754</v>
      </c>
      <c r="I16" s="34">
        <v>65129</v>
      </c>
      <c r="J16" s="34">
        <v>8</v>
      </c>
      <c r="K16" s="34">
        <f t="shared" si="9"/>
        <v>65137</v>
      </c>
      <c r="L16" s="34">
        <v>66459</v>
      </c>
      <c r="M16" s="34">
        <v>8</v>
      </c>
      <c r="N16" s="34">
        <f t="shared" si="1"/>
        <v>66467</v>
      </c>
      <c r="O16" s="34">
        <f t="shared" si="2"/>
        <v>1330</v>
      </c>
      <c r="P16" s="34">
        <f t="shared" si="3"/>
        <v>0</v>
      </c>
      <c r="Q16" s="34">
        <f t="shared" si="10"/>
        <v>1330</v>
      </c>
      <c r="R16" s="34">
        <f t="shared" si="4"/>
        <v>2417</v>
      </c>
      <c r="S16" s="34">
        <f t="shared" si="11"/>
        <v>0</v>
      </c>
      <c r="T16" s="34">
        <f t="shared" si="12"/>
        <v>2417</v>
      </c>
      <c r="U16" s="34">
        <v>68660</v>
      </c>
      <c r="V16" s="34">
        <v>68660</v>
      </c>
      <c r="W16" s="34">
        <v>88228</v>
      </c>
      <c r="X16" s="34">
        <f t="shared" si="5"/>
        <v>19568</v>
      </c>
      <c r="Y16" s="34">
        <f t="shared" si="6"/>
        <v>19568</v>
      </c>
      <c r="Z16" s="183">
        <f t="shared" si="7"/>
        <v>75.32642698463073</v>
      </c>
      <c r="AA16" s="34">
        <f>O16+P16+'May 12(7)'!V16</f>
        <v>1138</v>
      </c>
      <c r="AB16" s="34">
        <f>T16+'May 12(7)'!Z16</f>
        <v>2322</v>
      </c>
      <c r="AC16" s="34">
        <f>N16+'May 12(7)'!R16</f>
        <v>70714</v>
      </c>
      <c r="AE16" s="181">
        <f>AA16/(F16+G16+'May 12(7)'!H16+'May 12(7)'!I16)*100</f>
        <v>4.499980228557871</v>
      </c>
      <c r="AF16" s="181">
        <f>AB16/(O16+'[1]Mar 11(7)'!U16)*100</f>
        <v>174.58646616541353</v>
      </c>
    </row>
    <row r="17" spans="1:32" ht="21" customHeight="1">
      <c r="A17" s="59">
        <v>10</v>
      </c>
      <c r="B17" s="44" t="s">
        <v>6</v>
      </c>
      <c r="C17" s="35">
        <v>91102</v>
      </c>
      <c r="D17" s="33">
        <v>3</v>
      </c>
      <c r="E17" s="35">
        <f t="shared" si="8"/>
        <v>91105</v>
      </c>
      <c r="F17" s="35">
        <v>27000</v>
      </c>
      <c r="G17" s="35">
        <v>6170</v>
      </c>
      <c r="H17" s="35">
        <f t="shared" si="0"/>
        <v>33170</v>
      </c>
      <c r="I17" s="35">
        <v>92118</v>
      </c>
      <c r="J17" s="33">
        <v>4</v>
      </c>
      <c r="K17" s="35">
        <f t="shared" si="9"/>
        <v>92122</v>
      </c>
      <c r="L17" s="35">
        <v>93482</v>
      </c>
      <c r="M17" s="33">
        <v>11</v>
      </c>
      <c r="N17" s="35">
        <f t="shared" si="1"/>
        <v>93493</v>
      </c>
      <c r="O17" s="35">
        <f t="shared" si="2"/>
        <v>1364</v>
      </c>
      <c r="P17" s="35">
        <f t="shared" si="3"/>
        <v>7</v>
      </c>
      <c r="Q17" s="35">
        <f t="shared" si="10"/>
        <v>1371</v>
      </c>
      <c r="R17" s="35">
        <f t="shared" si="4"/>
        <v>2380</v>
      </c>
      <c r="S17" s="35">
        <f t="shared" si="11"/>
        <v>8</v>
      </c>
      <c r="T17" s="35">
        <f t="shared" si="12"/>
        <v>2388</v>
      </c>
      <c r="U17" s="35">
        <v>132668</v>
      </c>
      <c r="V17" s="35">
        <v>132668</v>
      </c>
      <c r="W17" s="35">
        <v>133628</v>
      </c>
      <c r="X17" s="35">
        <f t="shared" si="5"/>
        <v>960</v>
      </c>
      <c r="Y17" s="35">
        <f t="shared" si="6"/>
        <v>960</v>
      </c>
      <c r="Z17" s="181">
        <f t="shared" si="7"/>
        <v>69.95689526147216</v>
      </c>
      <c r="AA17" s="35">
        <f>O17+P17+'May 12(7)'!V17</f>
        <v>1295</v>
      </c>
      <c r="AB17" s="35">
        <f>T17+'May 12(7)'!Z17</f>
        <v>3243</v>
      </c>
      <c r="AC17" s="35">
        <f>N17+'May 12(7)'!R17</f>
        <v>97299</v>
      </c>
      <c r="AE17" s="181">
        <f>AA17/(F17+G17+'May 12(7)'!H17+'May 12(7)'!I17)*100</f>
        <v>2.9335145543096615</v>
      </c>
      <c r="AF17" s="181">
        <f>AB17/(O17+'[1]Mar 11(7)'!U17)*100</f>
        <v>237.40849194729137</v>
      </c>
    </row>
    <row r="18" spans="1:32" ht="21" customHeight="1">
      <c r="A18" s="60">
        <v>11</v>
      </c>
      <c r="B18" s="45" t="s">
        <v>34</v>
      </c>
      <c r="C18" s="347">
        <v>1009454</v>
      </c>
      <c r="D18" s="33">
        <v>580</v>
      </c>
      <c r="E18" s="33">
        <f t="shared" si="8"/>
        <v>1010034</v>
      </c>
      <c r="F18" s="33">
        <v>269000</v>
      </c>
      <c r="G18" s="33">
        <v>27864</v>
      </c>
      <c r="H18" s="33">
        <f t="shared" si="0"/>
        <v>296864</v>
      </c>
      <c r="I18" s="347">
        <v>1015950</v>
      </c>
      <c r="J18" s="33">
        <v>633</v>
      </c>
      <c r="K18" s="33">
        <f t="shared" si="9"/>
        <v>1016583</v>
      </c>
      <c r="L18" s="347">
        <v>1024828</v>
      </c>
      <c r="M18" s="33">
        <v>719</v>
      </c>
      <c r="N18" s="33">
        <f t="shared" si="1"/>
        <v>1025547</v>
      </c>
      <c r="O18" s="33">
        <f t="shared" si="2"/>
        <v>8878</v>
      </c>
      <c r="P18" s="33">
        <f t="shared" si="3"/>
        <v>86</v>
      </c>
      <c r="Q18" s="33">
        <f t="shared" si="10"/>
        <v>8964</v>
      </c>
      <c r="R18" s="33">
        <f t="shared" si="4"/>
        <v>15374</v>
      </c>
      <c r="S18" s="33">
        <f t="shared" si="11"/>
        <v>139</v>
      </c>
      <c r="T18" s="33">
        <f t="shared" si="12"/>
        <v>15513</v>
      </c>
      <c r="U18" s="33">
        <v>887516</v>
      </c>
      <c r="V18" s="33">
        <v>887516</v>
      </c>
      <c r="W18" s="33">
        <v>888092</v>
      </c>
      <c r="X18" s="33">
        <f t="shared" si="5"/>
        <v>576</v>
      </c>
      <c r="Y18" s="33">
        <f t="shared" si="6"/>
        <v>576</v>
      </c>
      <c r="Z18" s="182">
        <f t="shared" si="7"/>
        <v>115.39660305463848</v>
      </c>
      <c r="AA18" s="33">
        <f>O18+P18+'May 12(7)'!V18</f>
        <v>9197</v>
      </c>
      <c r="AB18" s="33">
        <f>T18+'May 12(7)'!Z18</f>
        <v>15774</v>
      </c>
      <c r="AC18" s="33">
        <f>N18+'May 12(7)'!R18</f>
        <v>1034017</v>
      </c>
      <c r="AE18" s="181">
        <f>AA18/(F18+G18+'May 12(7)'!H18+'May 12(7)'!I18)*100</f>
        <v>3.0563549718524228</v>
      </c>
      <c r="AF18" s="181">
        <f>AB18/(O18+'[1]Mar 11(7)'!U18)*100</f>
        <v>177.67515206127507</v>
      </c>
    </row>
    <row r="19" spans="1:32" ht="21" customHeight="1">
      <c r="A19" s="61">
        <v>12</v>
      </c>
      <c r="B19" s="46" t="s">
        <v>35</v>
      </c>
      <c r="C19" s="34">
        <v>833757</v>
      </c>
      <c r="D19" s="34">
        <v>322</v>
      </c>
      <c r="E19" s="34">
        <f t="shared" si="8"/>
        <v>834079</v>
      </c>
      <c r="F19" s="34">
        <v>320000</v>
      </c>
      <c r="G19" s="34">
        <v>11640</v>
      </c>
      <c r="H19" s="34">
        <f t="shared" si="0"/>
        <v>331640</v>
      </c>
      <c r="I19" s="34">
        <v>845859</v>
      </c>
      <c r="J19" s="34">
        <v>354</v>
      </c>
      <c r="K19" s="34">
        <f t="shared" si="9"/>
        <v>846213</v>
      </c>
      <c r="L19" s="34">
        <v>861713</v>
      </c>
      <c r="M19" s="34">
        <v>413</v>
      </c>
      <c r="N19" s="34">
        <f t="shared" si="1"/>
        <v>862126</v>
      </c>
      <c r="O19" s="34">
        <f t="shared" si="2"/>
        <v>15854</v>
      </c>
      <c r="P19" s="34">
        <f t="shared" si="3"/>
        <v>59</v>
      </c>
      <c r="Q19" s="34">
        <f t="shared" si="10"/>
        <v>15913</v>
      </c>
      <c r="R19" s="34">
        <f t="shared" si="4"/>
        <v>27956</v>
      </c>
      <c r="S19" s="34">
        <f t="shared" si="11"/>
        <v>91</v>
      </c>
      <c r="T19" s="34">
        <f t="shared" si="12"/>
        <v>28047</v>
      </c>
      <c r="U19" s="34">
        <v>770088</v>
      </c>
      <c r="V19" s="34">
        <v>770088</v>
      </c>
      <c r="W19" s="34">
        <v>770088</v>
      </c>
      <c r="X19" s="34">
        <f t="shared" si="5"/>
        <v>0</v>
      </c>
      <c r="Y19" s="34">
        <f t="shared" si="6"/>
        <v>0</v>
      </c>
      <c r="Z19" s="183">
        <f t="shared" si="7"/>
        <v>111.89799087896448</v>
      </c>
      <c r="AA19" s="34">
        <f>O19+P19+'May 12(7)'!V19</f>
        <v>15815</v>
      </c>
      <c r="AB19" s="34">
        <f>T19+'May 12(7)'!Z19</f>
        <v>28942</v>
      </c>
      <c r="AC19" s="34">
        <f>N19+'May 12(7)'!R19</f>
        <v>878015</v>
      </c>
      <c r="AE19" s="181">
        <f>AA19/(F19+G19+'May 12(7)'!H19+'May 12(7)'!I19)*100</f>
        <v>4.216490035326268</v>
      </c>
      <c r="AF19" s="181">
        <f>AB19/(O19+'[1]Mar 11(7)'!U19)*100</f>
        <v>178.19234084472356</v>
      </c>
    </row>
    <row r="20" spans="1:32" ht="21" customHeight="1">
      <c r="A20" s="59">
        <v>13</v>
      </c>
      <c r="B20" s="44" t="s">
        <v>68</v>
      </c>
      <c r="C20" s="35">
        <v>296502</v>
      </c>
      <c r="D20" s="35">
        <v>55</v>
      </c>
      <c r="E20" s="35">
        <f t="shared" si="8"/>
        <v>296557</v>
      </c>
      <c r="F20" s="33">
        <v>117000</v>
      </c>
      <c r="G20" s="35">
        <v>8892</v>
      </c>
      <c r="H20" s="35">
        <f t="shared" si="0"/>
        <v>125892</v>
      </c>
      <c r="I20" s="35">
        <v>300514</v>
      </c>
      <c r="J20" s="35">
        <v>60</v>
      </c>
      <c r="K20" s="35">
        <f t="shared" si="9"/>
        <v>300574</v>
      </c>
      <c r="L20" s="35">
        <v>304736</v>
      </c>
      <c r="M20" s="35">
        <v>65</v>
      </c>
      <c r="N20" s="35">
        <f t="shared" si="1"/>
        <v>304801</v>
      </c>
      <c r="O20" s="35">
        <f t="shared" si="2"/>
        <v>4222</v>
      </c>
      <c r="P20" s="35">
        <f t="shared" si="3"/>
        <v>5</v>
      </c>
      <c r="Q20" s="35">
        <f t="shared" si="10"/>
        <v>4227</v>
      </c>
      <c r="R20" s="35">
        <f t="shared" si="4"/>
        <v>8234</v>
      </c>
      <c r="S20" s="35">
        <f t="shared" si="11"/>
        <v>10</v>
      </c>
      <c r="T20" s="35">
        <f t="shared" si="12"/>
        <v>8244</v>
      </c>
      <c r="U20" s="35">
        <v>284800</v>
      </c>
      <c r="V20" s="35">
        <v>284800</v>
      </c>
      <c r="W20" s="35">
        <v>295936</v>
      </c>
      <c r="X20" s="35">
        <f t="shared" si="5"/>
        <v>11136</v>
      </c>
      <c r="Y20" s="35">
        <f t="shared" si="6"/>
        <v>11136</v>
      </c>
      <c r="Z20" s="181">
        <f t="shared" si="7"/>
        <v>102.97361591695503</v>
      </c>
      <c r="AA20" s="35">
        <f>O20+P20+'May 12(7)'!V20</f>
        <v>4193</v>
      </c>
      <c r="AB20" s="35">
        <f>T20+'May 12(7)'!Z20</f>
        <v>8400</v>
      </c>
      <c r="AC20" s="35">
        <f>N20+'May 12(7)'!R20</f>
        <v>314098</v>
      </c>
      <c r="AE20" s="181">
        <f>AA20/(F20+G20+'May 12(7)'!H20+'May 12(7)'!I20)*100</f>
        <v>2.8608076852224578</v>
      </c>
      <c r="AF20" s="181">
        <f>AB20/(O20+'[1]Mar 11(7)'!U20)*100</f>
        <v>198.6754966887417</v>
      </c>
    </row>
    <row r="21" spans="1:32" ht="21" customHeight="1">
      <c r="A21" s="60">
        <v>14</v>
      </c>
      <c r="B21" s="45" t="s">
        <v>36</v>
      </c>
      <c r="C21" s="33">
        <v>855066</v>
      </c>
      <c r="D21" s="33">
        <v>64</v>
      </c>
      <c r="E21" s="33">
        <f t="shared" si="8"/>
        <v>855130</v>
      </c>
      <c r="F21" s="33">
        <v>287000</v>
      </c>
      <c r="G21" s="33">
        <v>18227</v>
      </c>
      <c r="H21" s="33">
        <f>SUM(F21:G21)</f>
        <v>305227</v>
      </c>
      <c r="I21" s="33">
        <v>863525</v>
      </c>
      <c r="J21" s="33">
        <v>78</v>
      </c>
      <c r="K21" s="33">
        <f t="shared" si="9"/>
        <v>863603</v>
      </c>
      <c r="L21" s="33">
        <v>873864</v>
      </c>
      <c r="M21" s="33">
        <v>89</v>
      </c>
      <c r="N21" s="33">
        <f t="shared" si="1"/>
        <v>873953</v>
      </c>
      <c r="O21" s="33">
        <f t="shared" si="2"/>
        <v>10339</v>
      </c>
      <c r="P21" s="33">
        <f t="shared" si="3"/>
        <v>11</v>
      </c>
      <c r="Q21" s="33">
        <f t="shared" si="10"/>
        <v>10350</v>
      </c>
      <c r="R21" s="33">
        <f t="shared" si="4"/>
        <v>18798</v>
      </c>
      <c r="S21" s="33">
        <f t="shared" si="11"/>
        <v>25</v>
      </c>
      <c r="T21" s="33">
        <f t="shared" si="12"/>
        <v>18823</v>
      </c>
      <c r="U21" s="33">
        <v>737856</v>
      </c>
      <c r="V21" s="33">
        <v>737856</v>
      </c>
      <c r="W21" s="33">
        <v>745792</v>
      </c>
      <c r="X21" s="33">
        <f t="shared" si="5"/>
        <v>7936</v>
      </c>
      <c r="Y21" s="33">
        <f t="shared" si="6"/>
        <v>7936</v>
      </c>
      <c r="Z21" s="182">
        <f t="shared" si="7"/>
        <v>117.1726164936068</v>
      </c>
      <c r="AA21" s="33">
        <f>O21+P21+'May 12(7)'!V21</f>
        <v>10210</v>
      </c>
      <c r="AB21" s="33">
        <f>T21+'May 12(7)'!Z21</f>
        <v>18628</v>
      </c>
      <c r="AC21" s="33">
        <f>N21+'May 12(7)'!R21</f>
        <v>878726</v>
      </c>
      <c r="AE21" s="181">
        <f>AA21/(F21+G21+'May 12(7)'!H21+'May 12(7)'!I21)*100</f>
        <v>3.196798817716715</v>
      </c>
      <c r="AF21" s="181">
        <f>AB21/(O21+'[1]Mar 11(7)'!U21)*100</f>
        <v>180.62639387181227</v>
      </c>
    </row>
    <row r="22" spans="1:32" ht="21" customHeight="1">
      <c r="A22" s="61">
        <v>15</v>
      </c>
      <c r="B22" s="46" t="s">
        <v>13</v>
      </c>
      <c r="C22" s="34">
        <v>33807</v>
      </c>
      <c r="D22" s="233">
        <v>0</v>
      </c>
      <c r="E22" s="34">
        <f t="shared" si="8"/>
        <v>33807</v>
      </c>
      <c r="F22" s="34">
        <v>13500</v>
      </c>
      <c r="G22" s="34">
        <v>262</v>
      </c>
      <c r="H22" s="34">
        <f t="shared" si="0"/>
        <v>13762</v>
      </c>
      <c r="I22" s="34">
        <v>34184</v>
      </c>
      <c r="J22" s="233">
        <v>0</v>
      </c>
      <c r="K22" s="34">
        <f t="shared" si="9"/>
        <v>34184</v>
      </c>
      <c r="L22" s="34">
        <v>34639</v>
      </c>
      <c r="M22" s="34">
        <v>0</v>
      </c>
      <c r="N22" s="34">
        <f t="shared" si="1"/>
        <v>34639</v>
      </c>
      <c r="O22" s="34">
        <f t="shared" si="2"/>
        <v>455</v>
      </c>
      <c r="P22" s="34">
        <f t="shared" si="3"/>
        <v>0</v>
      </c>
      <c r="Q22" s="34">
        <f t="shared" si="10"/>
        <v>455</v>
      </c>
      <c r="R22" s="34">
        <f t="shared" si="4"/>
        <v>832</v>
      </c>
      <c r="S22" s="34">
        <f t="shared" si="11"/>
        <v>0</v>
      </c>
      <c r="T22" s="34">
        <f t="shared" si="12"/>
        <v>832</v>
      </c>
      <c r="U22" s="34">
        <v>33634</v>
      </c>
      <c r="V22" s="34">
        <v>33634</v>
      </c>
      <c r="W22" s="34">
        <v>33890</v>
      </c>
      <c r="X22" s="34">
        <f t="shared" si="5"/>
        <v>256</v>
      </c>
      <c r="Y22" s="34">
        <f t="shared" si="6"/>
        <v>256</v>
      </c>
      <c r="Z22" s="183">
        <f t="shared" si="7"/>
        <v>102.21009147241074</v>
      </c>
      <c r="AA22" s="34">
        <f>O22+P22+'May 12(7)'!V22</f>
        <v>623</v>
      </c>
      <c r="AB22" s="34">
        <f>T22+'May 12(7)'!Z22</f>
        <v>1208</v>
      </c>
      <c r="AC22" s="34">
        <f>N22+'May 12(7)'!R22</f>
        <v>37978</v>
      </c>
      <c r="AE22" s="181">
        <f>AA22/(F22+G22+'May 12(7)'!H23+'May 12(7)'!I22)*100</f>
        <v>3.1978236320706297</v>
      </c>
      <c r="AF22" s="181">
        <f>AB22/(O22+'[1]Mar 11(7)'!U22)*100</f>
        <v>267.2566371681416</v>
      </c>
    </row>
    <row r="23" spans="1:32" ht="21" customHeight="1">
      <c r="A23" s="60">
        <v>16</v>
      </c>
      <c r="B23" s="45" t="s">
        <v>12</v>
      </c>
      <c r="C23" s="33">
        <v>17931</v>
      </c>
      <c r="D23" s="232">
        <v>0</v>
      </c>
      <c r="E23" s="35">
        <f t="shared" si="8"/>
        <v>17931</v>
      </c>
      <c r="F23" s="33">
        <v>12030</v>
      </c>
      <c r="G23" s="33">
        <v>262</v>
      </c>
      <c r="H23" s="35">
        <f t="shared" si="0"/>
        <v>12292</v>
      </c>
      <c r="I23" s="33">
        <v>18137</v>
      </c>
      <c r="J23" s="232">
        <v>0</v>
      </c>
      <c r="K23" s="35">
        <f t="shared" si="9"/>
        <v>18137</v>
      </c>
      <c r="L23" s="33">
        <v>18395</v>
      </c>
      <c r="M23" s="232">
        <v>0</v>
      </c>
      <c r="N23" s="33">
        <f t="shared" si="1"/>
        <v>18395</v>
      </c>
      <c r="O23" s="35">
        <f t="shared" si="2"/>
        <v>258</v>
      </c>
      <c r="P23" s="35">
        <f>M23-J23</f>
        <v>0</v>
      </c>
      <c r="Q23" s="35">
        <f t="shared" si="10"/>
        <v>258</v>
      </c>
      <c r="R23" s="35">
        <f t="shared" si="4"/>
        <v>464</v>
      </c>
      <c r="S23" s="35">
        <f t="shared" si="11"/>
        <v>0</v>
      </c>
      <c r="T23" s="35">
        <f t="shared" si="12"/>
        <v>464</v>
      </c>
      <c r="U23" s="33">
        <v>30032</v>
      </c>
      <c r="V23" s="33">
        <v>30032</v>
      </c>
      <c r="W23" s="33">
        <v>33328</v>
      </c>
      <c r="X23" s="35">
        <f t="shared" si="5"/>
        <v>3296</v>
      </c>
      <c r="Y23" s="35">
        <f t="shared" si="6"/>
        <v>3296</v>
      </c>
      <c r="Z23" s="181">
        <f t="shared" si="7"/>
        <v>55.19383101296207</v>
      </c>
      <c r="AA23" s="35">
        <f>O23+P23+'May 12(7)'!V23</f>
        <v>332</v>
      </c>
      <c r="AB23" s="35">
        <f>T23+'May 12(7)'!Z23</f>
        <v>649</v>
      </c>
      <c r="AC23" s="35">
        <f>N23+'May 12(7)'!R23</f>
        <v>22123</v>
      </c>
      <c r="AE23" s="181">
        <f>AA23/(F23+G23+'May 12(7)'!H22+'May 12(7)'!I23)*100</f>
        <v>2.109007749968238</v>
      </c>
      <c r="AF23" s="181">
        <f>AB23/(O23+'[1]Mar 11(7)'!U23)*100</f>
        <v>248.65900383141764</v>
      </c>
    </row>
    <row r="24" spans="1:32" ht="21" customHeight="1">
      <c r="A24" s="60">
        <v>17</v>
      </c>
      <c r="B24" s="45" t="s">
        <v>69</v>
      </c>
      <c r="C24" s="33">
        <v>173172</v>
      </c>
      <c r="D24" s="33">
        <v>3</v>
      </c>
      <c r="E24" s="33">
        <f t="shared" si="8"/>
        <v>173175</v>
      </c>
      <c r="F24" s="33">
        <v>64800</v>
      </c>
      <c r="G24" s="33">
        <v>3547</v>
      </c>
      <c r="H24" s="33">
        <f t="shared" si="0"/>
        <v>68347</v>
      </c>
      <c r="I24" s="33">
        <v>174875</v>
      </c>
      <c r="J24" s="33">
        <v>7</v>
      </c>
      <c r="K24" s="33">
        <f t="shared" si="9"/>
        <v>174882</v>
      </c>
      <c r="L24" s="33">
        <v>177184</v>
      </c>
      <c r="M24" s="33">
        <v>7</v>
      </c>
      <c r="N24" s="33">
        <f t="shared" si="1"/>
        <v>177191</v>
      </c>
      <c r="O24" s="33">
        <f t="shared" si="2"/>
        <v>2309</v>
      </c>
      <c r="P24" s="33">
        <f t="shared" si="3"/>
        <v>0</v>
      </c>
      <c r="Q24" s="33">
        <f t="shared" si="10"/>
        <v>2309</v>
      </c>
      <c r="R24" s="33">
        <f t="shared" si="4"/>
        <v>4012</v>
      </c>
      <c r="S24" s="33">
        <f t="shared" si="11"/>
        <v>4</v>
      </c>
      <c r="T24" s="33">
        <f t="shared" si="12"/>
        <v>4016</v>
      </c>
      <c r="U24" s="33">
        <v>139668</v>
      </c>
      <c r="V24" s="33">
        <v>139668</v>
      </c>
      <c r="W24" s="33">
        <v>144852</v>
      </c>
      <c r="X24" s="33">
        <f t="shared" si="5"/>
        <v>5184</v>
      </c>
      <c r="Y24" s="33">
        <f t="shared" si="6"/>
        <v>5184</v>
      </c>
      <c r="Z24" s="182">
        <f t="shared" si="7"/>
        <v>122.32071355590534</v>
      </c>
      <c r="AA24" s="33">
        <f>O24+P24+'May 12(7)'!V24</f>
        <v>2736</v>
      </c>
      <c r="AB24" s="33">
        <f>T24+'May 12(7)'!Z24</f>
        <v>4738</v>
      </c>
      <c r="AC24" s="33">
        <f>N24+'May 12(7)'!R24</f>
        <v>182138</v>
      </c>
      <c r="AE24" s="181">
        <f>AA24/(F24+G24+'May 12(7)'!H24+'May 12(7)'!I24)*100</f>
        <v>3.314073912569498</v>
      </c>
      <c r="AF24" s="181">
        <f>AB24/(O24+'[1]Mar 11(7)'!U24)*100</f>
        <v>203.69733447979365</v>
      </c>
    </row>
    <row r="25" spans="1:32" ht="21" customHeight="1">
      <c r="A25" s="61">
        <v>18</v>
      </c>
      <c r="B25" s="46" t="s">
        <v>37</v>
      </c>
      <c r="C25" s="34">
        <v>503963</v>
      </c>
      <c r="D25" s="34">
        <v>51</v>
      </c>
      <c r="E25" s="34">
        <f t="shared" si="8"/>
        <v>504014</v>
      </c>
      <c r="F25" s="34">
        <v>173000</v>
      </c>
      <c r="G25" s="34">
        <v>23613</v>
      </c>
      <c r="H25" s="34">
        <f t="shared" si="0"/>
        <v>196613</v>
      </c>
      <c r="I25" s="34">
        <v>510548</v>
      </c>
      <c r="J25" s="34">
        <v>62</v>
      </c>
      <c r="K25" s="34">
        <f t="shared" si="9"/>
        <v>510610</v>
      </c>
      <c r="L25" s="34">
        <v>519126</v>
      </c>
      <c r="M25" s="34">
        <v>70</v>
      </c>
      <c r="N25" s="34">
        <f t="shared" si="1"/>
        <v>519196</v>
      </c>
      <c r="O25" s="34">
        <f t="shared" si="2"/>
        <v>8578</v>
      </c>
      <c r="P25" s="34">
        <f t="shared" si="3"/>
        <v>8</v>
      </c>
      <c r="Q25" s="34">
        <f t="shared" si="10"/>
        <v>8586</v>
      </c>
      <c r="R25" s="34">
        <f t="shared" si="4"/>
        <v>15163</v>
      </c>
      <c r="S25" s="34">
        <f t="shared" si="11"/>
        <v>19</v>
      </c>
      <c r="T25" s="34">
        <f t="shared" si="12"/>
        <v>15182</v>
      </c>
      <c r="U25" s="34">
        <v>352856</v>
      </c>
      <c r="V25" s="34">
        <v>352856</v>
      </c>
      <c r="W25" s="34">
        <v>352856</v>
      </c>
      <c r="X25" s="34">
        <f t="shared" si="5"/>
        <v>0</v>
      </c>
      <c r="Y25" s="34">
        <f t="shared" si="6"/>
        <v>0</v>
      </c>
      <c r="Z25" s="183">
        <f t="shared" si="7"/>
        <v>147.1212052508672</v>
      </c>
      <c r="AA25" s="34">
        <f>O25+P25+'May 12(7)'!V25</f>
        <v>8522</v>
      </c>
      <c r="AB25" s="34">
        <f>T25+'May 12(7)'!Z25</f>
        <v>15425</v>
      </c>
      <c r="AC25" s="34">
        <f>N25+'May 12(7)'!R25</f>
        <v>530914</v>
      </c>
      <c r="AE25" s="181">
        <f>AA25/(F25+G25+'May 12(7)'!H25+'May 12(7)'!I25)*100</f>
        <v>3.742676703352686</v>
      </c>
      <c r="AF25" s="181">
        <f>AB25/(O25+'[1]Mar 11(7)'!U25)*100</f>
        <v>174.21504404788797</v>
      </c>
    </row>
    <row r="26" spans="1:32" ht="21" customHeight="1">
      <c r="A26" s="59">
        <v>19</v>
      </c>
      <c r="B26" s="44" t="s">
        <v>70</v>
      </c>
      <c r="C26" s="35">
        <v>404687</v>
      </c>
      <c r="D26" s="35">
        <v>758</v>
      </c>
      <c r="E26" s="35">
        <f t="shared" si="8"/>
        <v>405445</v>
      </c>
      <c r="F26" s="35">
        <v>139000</v>
      </c>
      <c r="G26" s="35">
        <v>17784</v>
      </c>
      <c r="H26" s="35">
        <f t="shared" si="0"/>
        <v>156784</v>
      </c>
      <c r="I26" s="35">
        <v>409079</v>
      </c>
      <c r="J26" s="35">
        <v>792</v>
      </c>
      <c r="K26" s="35">
        <f t="shared" si="9"/>
        <v>409871</v>
      </c>
      <c r="L26" s="35">
        <v>414991</v>
      </c>
      <c r="M26" s="35">
        <v>847</v>
      </c>
      <c r="N26" s="35">
        <f t="shared" si="1"/>
        <v>415838</v>
      </c>
      <c r="O26" s="35">
        <f t="shared" si="2"/>
        <v>5912</v>
      </c>
      <c r="P26" s="35">
        <f t="shared" si="3"/>
        <v>55</v>
      </c>
      <c r="Q26" s="35">
        <f t="shared" si="10"/>
        <v>5967</v>
      </c>
      <c r="R26" s="35">
        <f t="shared" si="4"/>
        <v>10304</v>
      </c>
      <c r="S26" s="35">
        <f t="shared" si="11"/>
        <v>89</v>
      </c>
      <c r="T26" s="35">
        <f t="shared" si="12"/>
        <v>10393</v>
      </c>
      <c r="U26" s="35">
        <v>365088</v>
      </c>
      <c r="V26" s="35">
        <v>365088</v>
      </c>
      <c r="W26" s="35">
        <v>377376</v>
      </c>
      <c r="X26" s="35">
        <f t="shared" si="5"/>
        <v>12288</v>
      </c>
      <c r="Y26" s="35">
        <f t="shared" si="6"/>
        <v>12288</v>
      </c>
      <c r="Z26" s="181">
        <f t="shared" si="7"/>
        <v>109.96751250741966</v>
      </c>
      <c r="AA26" s="35">
        <f>O26+P26+'May 12(7)'!V26</f>
        <v>7397</v>
      </c>
      <c r="AB26" s="35">
        <f>T26+'May 12(7)'!Z26</f>
        <v>10262</v>
      </c>
      <c r="AC26" s="35">
        <f>N26+'May 12(7)'!R26</f>
        <v>422681</v>
      </c>
      <c r="AE26" s="181">
        <f>AA26/(F26+G26+'May 12(7)'!H26+'May 12(7)'!I26)*100</f>
        <v>4.190009006508477</v>
      </c>
      <c r="AF26" s="181">
        <f>AB26/(O26+'[1]Mar 11(7)'!U26)*100</f>
        <v>173.40317674890167</v>
      </c>
    </row>
    <row r="27" spans="1:32" ht="21" customHeight="1">
      <c r="A27" s="60">
        <v>20</v>
      </c>
      <c r="B27" s="45" t="s">
        <v>71</v>
      </c>
      <c r="C27" s="33">
        <v>778028</v>
      </c>
      <c r="D27" s="33">
        <v>319</v>
      </c>
      <c r="E27" s="33">
        <f t="shared" si="8"/>
        <v>778347</v>
      </c>
      <c r="F27" s="33">
        <v>310000</v>
      </c>
      <c r="G27" s="33">
        <v>7098</v>
      </c>
      <c r="H27" s="33">
        <f t="shared" si="0"/>
        <v>317098</v>
      </c>
      <c r="I27" s="33">
        <v>787776</v>
      </c>
      <c r="J27" s="33">
        <v>354</v>
      </c>
      <c r="K27" s="33">
        <f t="shared" si="9"/>
        <v>788130</v>
      </c>
      <c r="L27" s="33">
        <v>798576</v>
      </c>
      <c r="M27" s="33">
        <v>387</v>
      </c>
      <c r="N27" s="33">
        <f t="shared" si="1"/>
        <v>798963</v>
      </c>
      <c r="O27" s="33">
        <f t="shared" si="2"/>
        <v>10800</v>
      </c>
      <c r="P27" s="33">
        <f t="shared" si="3"/>
        <v>33</v>
      </c>
      <c r="Q27" s="33">
        <f t="shared" si="10"/>
        <v>10833</v>
      </c>
      <c r="R27" s="33">
        <f t="shared" si="4"/>
        <v>20548</v>
      </c>
      <c r="S27" s="33">
        <f t="shared" si="11"/>
        <v>68</v>
      </c>
      <c r="T27" s="33">
        <f t="shared" si="12"/>
        <v>20616</v>
      </c>
      <c r="U27" s="33">
        <v>521784</v>
      </c>
      <c r="V27" s="33">
        <v>521784</v>
      </c>
      <c r="W27" s="33">
        <v>521784</v>
      </c>
      <c r="X27" s="33">
        <f t="shared" si="5"/>
        <v>0</v>
      </c>
      <c r="Y27" s="33">
        <f t="shared" si="6"/>
        <v>0</v>
      </c>
      <c r="Z27" s="182">
        <f t="shared" si="7"/>
        <v>153.04723793753737</v>
      </c>
      <c r="AA27" s="33">
        <f>O27+P27+'May 12(7)'!V27</f>
        <v>11163</v>
      </c>
      <c r="AB27" s="33">
        <f>T27+'May 12(7)'!Z27</f>
        <v>20523</v>
      </c>
      <c r="AC27" s="33">
        <f>N27+'May 12(7)'!R27</f>
        <v>808144</v>
      </c>
      <c r="AE27" s="181">
        <f>AA27/(F27+G27+'May 12(7)'!H27+'May 12(7)'!I27)*100</f>
        <v>3.455416674405215</v>
      </c>
      <c r="AF27" s="181">
        <f>AB27/(O27+'[1]Mar 11(7)'!U27)*100</f>
        <v>189.67652495378928</v>
      </c>
    </row>
    <row r="28" spans="1:32" ht="21" customHeight="1">
      <c r="A28" s="61">
        <v>21</v>
      </c>
      <c r="B28" s="46" t="s">
        <v>72</v>
      </c>
      <c r="C28" s="34">
        <v>85052</v>
      </c>
      <c r="D28" s="34">
        <v>8</v>
      </c>
      <c r="E28" s="34">
        <f t="shared" si="8"/>
        <v>85060</v>
      </c>
      <c r="F28" s="34">
        <v>28000</v>
      </c>
      <c r="G28" s="34">
        <v>2094</v>
      </c>
      <c r="H28" s="34">
        <f t="shared" si="0"/>
        <v>30094</v>
      </c>
      <c r="I28" s="34">
        <v>85910</v>
      </c>
      <c r="J28" s="34">
        <v>14</v>
      </c>
      <c r="K28" s="34">
        <f t="shared" si="9"/>
        <v>85924</v>
      </c>
      <c r="L28" s="34">
        <v>87014</v>
      </c>
      <c r="M28" s="34">
        <v>14</v>
      </c>
      <c r="N28" s="34">
        <f t="shared" si="1"/>
        <v>87028</v>
      </c>
      <c r="O28" s="34">
        <f t="shared" si="2"/>
        <v>1104</v>
      </c>
      <c r="P28" s="34">
        <f t="shared" si="3"/>
        <v>0</v>
      </c>
      <c r="Q28" s="34">
        <f t="shared" si="10"/>
        <v>1104</v>
      </c>
      <c r="R28" s="34">
        <f t="shared" si="4"/>
        <v>1962</v>
      </c>
      <c r="S28" s="34">
        <f t="shared" si="11"/>
        <v>6</v>
      </c>
      <c r="T28" s="34">
        <f t="shared" si="12"/>
        <v>1968</v>
      </c>
      <c r="U28" s="34">
        <v>86716</v>
      </c>
      <c r="V28" s="34">
        <v>86716</v>
      </c>
      <c r="W28" s="34">
        <v>86716</v>
      </c>
      <c r="X28" s="34">
        <f t="shared" si="5"/>
        <v>0</v>
      </c>
      <c r="Y28" s="34">
        <f t="shared" si="6"/>
        <v>0</v>
      </c>
      <c r="Z28" s="183">
        <f t="shared" si="7"/>
        <v>100.34365053738641</v>
      </c>
      <c r="AA28" s="34">
        <f>O28+P28+'May 12(7)'!V28</f>
        <v>-326</v>
      </c>
      <c r="AB28" s="34">
        <f>T28+'May 12(7)'!Z28</f>
        <v>671</v>
      </c>
      <c r="AC28" s="34">
        <f>N28+'May 12(7)'!R28</f>
        <v>88812</v>
      </c>
      <c r="AE28" s="181">
        <f>AA28/(F28+G28+'May 12(7)'!H28+'May 12(7)'!I28)*100</f>
        <v>-0.9900088068268093</v>
      </c>
      <c r="AF28" s="181">
        <f>AB28/(O28+'[1]Mar 11(7)'!U28)*100</f>
        <v>60.66907775768535</v>
      </c>
    </row>
    <row r="29" spans="1:32" ht="21" customHeight="1">
      <c r="A29" s="59">
        <v>22</v>
      </c>
      <c r="B29" s="44" t="s">
        <v>7</v>
      </c>
      <c r="C29" s="35">
        <v>321855</v>
      </c>
      <c r="D29" s="35">
        <v>56</v>
      </c>
      <c r="E29" s="35">
        <f t="shared" si="8"/>
        <v>321911</v>
      </c>
      <c r="F29" s="35">
        <v>111000</v>
      </c>
      <c r="G29" s="35">
        <v>21284</v>
      </c>
      <c r="H29" s="35">
        <f t="shared" si="0"/>
        <v>132284</v>
      </c>
      <c r="I29" s="35">
        <v>324179</v>
      </c>
      <c r="J29" s="35">
        <v>56</v>
      </c>
      <c r="K29" s="35">
        <f t="shared" si="9"/>
        <v>324235</v>
      </c>
      <c r="L29" s="35">
        <v>327199</v>
      </c>
      <c r="M29" s="35">
        <v>58</v>
      </c>
      <c r="N29" s="35">
        <f t="shared" si="1"/>
        <v>327257</v>
      </c>
      <c r="O29" s="35">
        <f t="shared" si="2"/>
        <v>3020</v>
      </c>
      <c r="P29" s="35">
        <f t="shared" si="3"/>
        <v>2</v>
      </c>
      <c r="Q29" s="35">
        <f t="shared" si="10"/>
        <v>3022</v>
      </c>
      <c r="R29" s="35">
        <f t="shared" si="4"/>
        <v>5344</v>
      </c>
      <c r="S29" s="35">
        <f t="shared" si="11"/>
        <v>2</v>
      </c>
      <c r="T29" s="35">
        <f t="shared" si="12"/>
        <v>5346</v>
      </c>
      <c r="U29" s="35">
        <v>483396</v>
      </c>
      <c r="V29" s="35">
        <v>483396</v>
      </c>
      <c r="W29" s="35">
        <v>495012</v>
      </c>
      <c r="X29" s="35">
        <f t="shared" si="5"/>
        <v>11616</v>
      </c>
      <c r="Y29" s="35">
        <f t="shared" si="6"/>
        <v>11616</v>
      </c>
      <c r="Z29" s="181">
        <f t="shared" si="7"/>
        <v>66.099205675822</v>
      </c>
      <c r="AA29" s="35">
        <f>O29+P29+'May 12(7)'!V29</f>
        <v>3313</v>
      </c>
      <c r="AB29" s="35">
        <f>T29+'May 12(7)'!Z29</f>
        <v>5867</v>
      </c>
      <c r="AC29" s="35">
        <f>N29+'May 12(7)'!R29</f>
        <v>333701</v>
      </c>
      <c r="AE29" s="181">
        <f>AA29/(F29+G29+'May 12(7)'!H29+'May 12(7)'!I29)*100</f>
        <v>2.1827789088082015</v>
      </c>
      <c r="AF29" s="181">
        <f>AB29/(O29+'[1]Mar 11(7)'!U29)*100</f>
        <v>191.73202614379085</v>
      </c>
    </row>
    <row r="30" spans="1:32" ht="21" customHeight="1">
      <c r="A30" s="60">
        <v>23</v>
      </c>
      <c r="B30" s="45" t="s">
        <v>8</v>
      </c>
      <c r="C30" s="33">
        <v>217127</v>
      </c>
      <c r="D30" s="33">
        <v>121</v>
      </c>
      <c r="E30" s="33">
        <f t="shared" si="8"/>
        <v>217248</v>
      </c>
      <c r="F30" s="33">
        <v>70000</v>
      </c>
      <c r="G30" s="33">
        <v>20845</v>
      </c>
      <c r="H30" s="33">
        <f t="shared" si="0"/>
        <v>90845</v>
      </c>
      <c r="I30" s="33">
        <v>219459</v>
      </c>
      <c r="J30" s="33">
        <v>138</v>
      </c>
      <c r="K30" s="33">
        <f t="shared" si="9"/>
        <v>219597</v>
      </c>
      <c r="L30" s="33">
        <v>222552</v>
      </c>
      <c r="M30" s="33">
        <v>142</v>
      </c>
      <c r="N30" s="33">
        <f t="shared" si="1"/>
        <v>222694</v>
      </c>
      <c r="O30" s="33">
        <f t="shared" si="2"/>
        <v>3093</v>
      </c>
      <c r="P30" s="33">
        <f t="shared" si="3"/>
        <v>4</v>
      </c>
      <c r="Q30" s="33">
        <f t="shared" si="10"/>
        <v>3097</v>
      </c>
      <c r="R30" s="33">
        <f t="shared" si="4"/>
        <v>5425</v>
      </c>
      <c r="S30" s="33">
        <f t="shared" si="11"/>
        <v>21</v>
      </c>
      <c r="T30" s="33">
        <f t="shared" si="12"/>
        <v>5446</v>
      </c>
      <c r="U30" s="33">
        <v>243156</v>
      </c>
      <c r="V30" s="33">
        <v>243156</v>
      </c>
      <c r="W30" s="33">
        <v>243156</v>
      </c>
      <c r="X30" s="33">
        <f t="shared" si="5"/>
        <v>0</v>
      </c>
      <c r="Y30" s="33">
        <f t="shared" si="6"/>
        <v>0</v>
      </c>
      <c r="Z30" s="182">
        <f t="shared" si="7"/>
        <v>91.52642747865568</v>
      </c>
      <c r="AA30" s="33">
        <f>O30+P30+'May 12(7)'!V30</f>
        <v>1189</v>
      </c>
      <c r="AB30" s="33">
        <f>T30+'May 12(7)'!Z30</f>
        <v>5764</v>
      </c>
      <c r="AC30" s="33">
        <f>N30+'May 12(7)'!R30</f>
        <v>226845</v>
      </c>
      <c r="AE30" s="181">
        <f>AA30/(F30+G30+'May 12(7)'!H30+'May 12(7)'!I30)*100</f>
        <v>1.2321881962796</v>
      </c>
      <c r="AF30" s="181">
        <f>AB30/(O30+'[1]Mar 11(7)'!U30)*100</f>
        <v>181.371932032725</v>
      </c>
    </row>
    <row r="31" spans="1:32" ht="21" customHeight="1">
      <c r="A31" s="61">
        <v>24</v>
      </c>
      <c r="B31" s="46" t="s">
        <v>40</v>
      </c>
      <c r="C31" s="34">
        <v>146077</v>
      </c>
      <c r="D31" s="34">
        <v>4</v>
      </c>
      <c r="E31" s="34">
        <f t="shared" si="8"/>
        <v>146081</v>
      </c>
      <c r="F31" s="34">
        <v>70000</v>
      </c>
      <c r="G31" s="34">
        <v>1046</v>
      </c>
      <c r="H31" s="34">
        <f t="shared" si="0"/>
        <v>71046</v>
      </c>
      <c r="I31" s="34">
        <v>147955</v>
      </c>
      <c r="J31" s="34">
        <v>4</v>
      </c>
      <c r="K31" s="34">
        <f t="shared" si="9"/>
        <v>147959</v>
      </c>
      <c r="L31" s="34">
        <v>150074</v>
      </c>
      <c r="M31" s="34">
        <v>4</v>
      </c>
      <c r="N31" s="34">
        <f t="shared" si="1"/>
        <v>150078</v>
      </c>
      <c r="O31" s="34">
        <f t="shared" si="2"/>
        <v>2119</v>
      </c>
      <c r="P31" s="34">
        <f t="shared" si="3"/>
        <v>0</v>
      </c>
      <c r="Q31" s="34">
        <f t="shared" si="10"/>
        <v>2119</v>
      </c>
      <c r="R31" s="34">
        <f t="shared" si="4"/>
        <v>3997</v>
      </c>
      <c r="S31" s="34">
        <f t="shared" si="11"/>
        <v>0</v>
      </c>
      <c r="T31" s="34">
        <f t="shared" si="12"/>
        <v>3997</v>
      </c>
      <c r="U31" s="34">
        <v>192376</v>
      </c>
      <c r="V31" s="34">
        <v>192376</v>
      </c>
      <c r="W31" s="34">
        <v>197368</v>
      </c>
      <c r="X31" s="34">
        <f t="shared" si="5"/>
        <v>4992</v>
      </c>
      <c r="Y31" s="34">
        <f t="shared" si="6"/>
        <v>4992</v>
      </c>
      <c r="Z31" s="183">
        <f t="shared" si="7"/>
        <v>76.0376555469985</v>
      </c>
      <c r="AA31" s="34">
        <f>O31+P31+'May 12(7)'!V31</f>
        <v>2217</v>
      </c>
      <c r="AB31" s="34">
        <f>T31+'May 12(7)'!Z31</f>
        <v>4193</v>
      </c>
      <c r="AC31" s="34">
        <f>N31+'May 12(7)'!R31</f>
        <v>158973</v>
      </c>
      <c r="AE31" s="181">
        <f>AA31/(F31+G31+'May 12(7)'!H31+'May 12(7)'!I31)*100</f>
        <v>2.834639628696731</v>
      </c>
      <c r="AF31" s="181">
        <f>AB31/(O31+'[1]Mar 11(7)'!U31)*100</f>
        <v>197.4105461393597</v>
      </c>
    </row>
    <row r="32" spans="1:32" ht="21" customHeight="1">
      <c r="A32" s="59">
        <v>25</v>
      </c>
      <c r="B32" s="44" t="s">
        <v>9</v>
      </c>
      <c r="C32" s="35">
        <v>348575</v>
      </c>
      <c r="D32" s="35">
        <v>40</v>
      </c>
      <c r="E32" s="35">
        <f t="shared" si="8"/>
        <v>348615</v>
      </c>
      <c r="F32" s="35">
        <v>100000</v>
      </c>
      <c r="G32" s="35">
        <v>16654</v>
      </c>
      <c r="H32" s="35">
        <f t="shared" si="0"/>
        <v>116654</v>
      </c>
      <c r="I32" s="35">
        <v>350942</v>
      </c>
      <c r="J32" s="35">
        <v>42</v>
      </c>
      <c r="K32" s="35">
        <f t="shared" si="9"/>
        <v>350984</v>
      </c>
      <c r="L32" s="35">
        <v>353696</v>
      </c>
      <c r="M32" s="35">
        <v>48</v>
      </c>
      <c r="N32" s="35">
        <f>L32+M32</f>
        <v>353744</v>
      </c>
      <c r="O32" s="35">
        <f t="shared" si="2"/>
        <v>2754</v>
      </c>
      <c r="P32" s="35">
        <f t="shared" si="3"/>
        <v>6</v>
      </c>
      <c r="Q32" s="35">
        <f t="shared" si="10"/>
        <v>2760</v>
      </c>
      <c r="R32" s="35">
        <f t="shared" si="4"/>
        <v>5121</v>
      </c>
      <c r="S32" s="35">
        <f t="shared" si="11"/>
        <v>8</v>
      </c>
      <c r="T32" s="35">
        <f t="shared" si="12"/>
        <v>5129</v>
      </c>
      <c r="U32" s="35">
        <v>407600</v>
      </c>
      <c r="V32" s="35">
        <v>407600</v>
      </c>
      <c r="W32" s="35">
        <v>420560</v>
      </c>
      <c r="X32" s="35">
        <f t="shared" si="5"/>
        <v>12960</v>
      </c>
      <c r="Y32" s="35">
        <f t="shared" si="6"/>
        <v>12960</v>
      </c>
      <c r="Z32" s="181">
        <f t="shared" si="7"/>
        <v>84.10119840213049</v>
      </c>
      <c r="AA32" s="35">
        <f>O32+P32+'May 12(7)'!V32</f>
        <v>2855</v>
      </c>
      <c r="AB32" s="35">
        <f>T32+'May 12(7)'!Z32</f>
        <v>5384</v>
      </c>
      <c r="AC32" s="35">
        <f>N32+'May 12(7)'!R32</f>
        <v>360578</v>
      </c>
      <c r="AE32" s="181">
        <f>AA32/(F32+G32+'May 12(7)'!H32+'May 12(7)'!I32)*100</f>
        <v>2.408632268079506</v>
      </c>
      <c r="AF32" s="181">
        <f>AB32/(O32+'[1]Mar 11(7)'!U32)*100</f>
        <v>195.4974582425563</v>
      </c>
    </row>
    <row r="33" spans="1:32" ht="21" customHeight="1">
      <c r="A33" s="61">
        <v>26</v>
      </c>
      <c r="B33" s="46" t="s">
        <v>10</v>
      </c>
      <c r="C33" s="34">
        <v>596520</v>
      </c>
      <c r="D33" s="34">
        <v>572</v>
      </c>
      <c r="E33" s="33">
        <f t="shared" si="8"/>
        <v>597092</v>
      </c>
      <c r="F33" s="34">
        <v>180000</v>
      </c>
      <c r="G33" s="34">
        <v>14196</v>
      </c>
      <c r="H33" s="33">
        <f t="shared" si="0"/>
        <v>194196</v>
      </c>
      <c r="I33" s="34">
        <v>601764</v>
      </c>
      <c r="J33" s="34">
        <v>670</v>
      </c>
      <c r="K33" s="33">
        <f t="shared" si="9"/>
        <v>602434</v>
      </c>
      <c r="L33" s="34">
        <v>607596</v>
      </c>
      <c r="M33" s="34">
        <v>762</v>
      </c>
      <c r="N33" s="33">
        <f t="shared" si="1"/>
        <v>608358</v>
      </c>
      <c r="O33" s="33">
        <f t="shared" si="2"/>
        <v>5832</v>
      </c>
      <c r="P33" s="33">
        <f t="shared" si="3"/>
        <v>92</v>
      </c>
      <c r="Q33" s="33">
        <f t="shared" si="10"/>
        <v>5924</v>
      </c>
      <c r="R33" s="33">
        <f t="shared" si="4"/>
        <v>11076</v>
      </c>
      <c r="S33" s="33">
        <f t="shared" si="11"/>
        <v>190</v>
      </c>
      <c r="T33" s="33">
        <f t="shared" si="12"/>
        <v>11266</v>
      </c>
      <c r="U33" s="34">
        <v>492684</v>
      </c>
      <c r="V33" s="34">
        <v>492684</v>
      </c>
      <c r="W33" s="34">
        <v>492684</v>
      </c>
      <c r="X33" s="33">
        <f t="shared" si="5"/>
        <v>0</v>
      </c>
      <c r="Y33" s="33">
        <f t="shared" si="6"/>
        <v>0</v>
      </c>
      <c r="Z33" s="182">
        <f t="shared" si="7"/>
        <v>123.32367196823928</v>
      </c>
      <c r="AA33" s="33">
        <f>O33+P33+'May 12(7)'!V33</f>
        <v>6027</v>
      </c>
      <c r="AB33" s="33">
        <f>T33+'May 12(7)'!Z33</f>
        <v>11457</v>
      </c>
      <c r="AC33" s="33">
        <f>N33+'May 12(7)'!R33</f>
        <v>611347</v>
      </c>
      <c r="AE33" s="181">
        <f>AA33/(F33+G33+'May 12(7)'!H33+'May 12(7)'!I33)*100</f>
        <v>3.0763184221809348</v>
      </c>
      <c r="AF33" s="181">
        <f>AB33/(O33+'[1]Mar 11(7)'!U33)*100</f>
        <v>196.4169381107492</v>
      </c>
    </row>
    <row r="34" spans="1:32" s="127" customFormat="1" ht="21" customHeight="1">
      <c r="A34" s="137"/>
      <c r="B34" s="137" t="s">
        <v>11</v>
      </c>
      <c r="C34" s="138">
        <f aca="true" t="shared" si="13" ref="C34:Y34">SUM(C8:C33)</f>
        <v>8910610</v>
      </c>
      <c r="D34" s="138">
        <f t="shared" si="13"/>
        <v>4143</v>
      </c>
      <c r="E34" s="138">
        <f t="shared" si="13"/>
        <v>8914753</v>
      </c>
      <c r="F34" s="138">
        <f t="shared" si="13"/>
        <v>3000000</v>
      </c>
      <c r="G34" s="330">
        <f>SUM(G8:G33)</f>
        <v>265564</v>
      </c>
      <c r="H34" s="138">
        <f>SUM(H8:H33)</f>
        <v>3265564</v>
      </c>
      <c r="I34" s="138">
        <f t="shared" si="13"/>
        <v>9004144</v>
      </c>
      <c r="J34" s="138">
        <f>SUM(J8:J33)</f>
        <v>4558</v>
      </c>
      <c r="K34" s="138">
        <f>SUM(K8:K33)</f>
        <v>9008702</v>
      </c>
      <c r="L34" s="138">
        <f t="shared" si="13"/>
        <v>9119546</v>
      </c>
      <c r="M34" s="138">
        <f t="shared" si="13"/>
        <v>5033</v>
      </c>
      <c r="N34" s="138">
        <f t="shared" si="13"/>
        <v>9124579</v>
      </c>
      <c r="O34" s="138">
        <f>SUM(O8:O33)</f>
        <v>115402</v>
      </c>
      <c r="P34" s="138">
        <f t="shared" si="13"/>
        <v>475</v>
      </c>
      <c r="Q34" s="138">
        <f t="shared" si="13"/>
        <v>115877</v>
      </c>
      <c r="R34" s="138">
        <f>SUM(R8:R33)</f>
        <v>208936</v>
      </c>
      <c r="S34" s="138">
        <f>SUM(S8:S33)</f>
        <v>890</v>
      </c>
      <c r="T34" s="138">
        <f t="shared" si="13"/>
        <v>209826</v>
      </c>
      <c r="U34" s="138">
        <f t="shared" si="13"/>
        <v>8318842</v>
      </c>
      <c r="V34" s="138">
        <f t="shared" si="13"/>
        <v>8318842</v>
      </c>
      <c r="W34" s="138">
        <f t="shared" si="13"/>
        <v>8526074</v>
      </c>
      <c r="X34" s="138">
        <f t="shared" si="13"/>
        <v>207232</v>
      </c>
      <c r="Y34" s="138">
        <f t="shared" si="13"/>
        <v>207232</v>
      </c>
      <c r="Z34" s="184">
        <f t="shared" si="7"/>
        <v>106.96067146496735</v>
      </c>
      <c r="AA34" s="138">
        <f>SUM(AA8:AA33)</f>
        <v>115257</v>
      </c>
      <c r="AB34" s="138">
        <f>SUM(AB8:AB33)</f>
        <v>215265</v>
      </c>
      <c r="AC34" s="138">
        <f>SUM(AC8:AC33)</f>
        <v>9274516</v>
      </c>
      <c r="AE34" s="390">
        <f>AA34/(F34+G34+'May 12(7)'!H34+'May 12(7)'!I34)*100</f>
        <v>3.261205415450922</v>
      </c>
      <c r="AF34" s="390">
        <f>AB34/(O34+'[1]Mar 11(7)'!U34)*100</f>
        <v>185.08821708625672</v>
      </c>
    </row>
    <row r="35" spans="1:29" s="127" customFormat="1" ht="21" customHeight="1">
      <c r="A35" s="423" t="s">
        <v>148</v>
      </c>
      <c r="B35" s="423"/>
      <c r="C35" s="184">
        <f>C34/1000000</f>
        <v>8.91061</v>
      </c>
      <c r="D35" s="184">
        <f>D34/1000000</f>
        <v>0.004143</v>
      </c>
      <c r="E35" s="184">
        <f>E34/1000000</f>
        <v>8.914753</v>
      </c>
      <c r="F35" s="184">
        <f aca="true" t="shared" si="14" ref="F35:Y35">F34/1000000</f>
        <v>3</v>
      </c>
      <c r="G35" s="184">
        <f>G34/1000000</f>
        <v>0.265564</v>
      </c>
      <c r="H35" s="184">
        <f>H34/1000000</f>
        <v>3.265564</v>
      </c>
      <c r="I35" s="184">
        <f t="shared" si="14"/>
        <v>9.004144</v>
      </c>
      <c r="J35" s="184">
        <f>J34/1000000</f>
        <v>0.004558</v>
      </c>
      <c r="K35" s="184">
        <f>K34/1000000</f>
        <v>9.008702</v>
      </c>
      <c r="L35" s="184">
        <f t="shared" si="14"/>
        <v>9.119546</v>
      </c>
      <c r="M35" s="184">
        <f t="shared" si="14"/>
        <v>0.005033</v>
      </c>
      <c r="N35" s="184">
        <f t="shared" si="14"/>
        <v>9.124579</v>
      </c>
      <c r="O35" s="184">
        <f t="shared" si="14"/>
        <v>0.115402</v>
      </c>
      <c r="P35" s="184">
        <f t="shared" si="14"/>
        <v>0.000475</v>
      </c>
      <c r="Q35" s="184">
        <f t="shared" si="14"/>
        <v>0.115877</v>
      </c>
      <c r="R35" s="184">
        <f>R34/1000000</f>
        <v>0.208936</v>
      </c>
      <c r="S35" s="184">
        <f>S34/1000000</f>
        <v>0.00089</v>
      </c>
      <c r="T35" s="184">
        <f t="shared" si="14"/>
        <v>0.209826</v>
      </c>
      <c r="U35" s="184">
        <f t="shared" si="14"/>
        <v>8.318842</v>
      </c>
      <c r="V35" s="184">
        <f t="shared" si="14"/>
        <v>8.318842</v>
      </c>
      <c r="W35" s="184">
        <f t="shared" si="14"/>
        <v>8.526074</v>
      </c>
      <c r="X35" s="184">
        <f t="shared" si="14"/>
        <v>0.207232</v>
      </c>
      <c r="Y35" s="184">
        <f t="shared" si="14"/>
        <v>0.207232</v>
      </c>
      <c r="Z35" s="294" t="s">
        <v>103</v>
      </c>
      <c r="AA35" s="184">
        <f>AA34/1000000</f>
        <v>0.115257</v>
      </c>
      <c r="AB35" s="184">
        <f>AB34/1000000</f>
        <v>0.215265</v>
      </c>
      <c r="AC35" s="184">
        <f>AC34/1000000</f>
        <v>9.274516</v>
      </c>
    </row>
    <row r="36" spans="1:26" s="127" customFormat="1" ht="18" customHeight="1">
      <c r="A36" s="139"/>
      <c r="B36" s="130" t="s">
        <v>110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2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spans="1:26" ht="18" customHeight="1">
      <c r="A38" s="141"/>
      <c r="B38" s="143" t="s">
        <v>30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5"/>
      <c r="Y38" s="166"/>
      <c r="Z38" s="166"/>
    </row>
    <row r="39" spans="1:26" ht="17.25" customHeight="1">
      <c r="A39" s="141"/>
      <c r="B39" s="143" t="s">
        <v>15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</row>
    <row r="40" spans="1:26" ht="18" customHeight="1">
      <c r="A40" s="141"/>
      <c r="B40" s="148" t="s">
        <v>58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7"/>
      <c r="Y40" s="147"/>
      <c r="Z40" s="147"/>
    </row>
    <row r="41" spans="1:26" ht="18" customHeight="1">
      <c r="A41" s="141"/>
      <c r="B41" s="148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</row>
    <row r="42" spans="1:26" ht="18" customHeight="1">
      <c r="A42" s="141"/>
      <c r="B42" s="143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</row>
    <row r="43" spans="1:8" ht="18" customHeight="1">
      <c r="A43" s="141"/>
      <c r="B43" s="132"/>
      <c r="C43" s="188">
        <f>C34+2500000</f>
        <v>11410610</v>
      </c>
      <c r="D43" s="188"/>
      <c r="E43" s="188"/>
      <c r="F43" s="141"/>
      <c r="G43" s="141"/>
      <c r="H43" s="141"/>
    </row>
    <row r="44" spans="1:14" ht="19.5" customHeight="1">
      <c r="A44" s="132"/>
      <c r="B44" s="132"/>
      <c r="C44" s="132">
        <v>7500000</v>
      </c>
      <c r="D44" s="132"/>
      <c r="E44" s="132"/>
      <c r="F44" s="132"/>
      <c r="G44" s="132"/>
      <c r="H44" s="132"/>
      <c r="L44" s="172"/>
      <c r="M44" s="172"/>
      <c r="N44" s="172"/>
    </row>
    <row r="45" spans="1:26" ht="15.75">
      <c r="A45" s="132"/>
      <c r="B45" s="126"/>
      <c r="C45" s="303">
        <f>C43+C44</f>
        <v>18910610</v>
      </c>
      <c r="D45" s="303"/>
      <c r="E45" s="303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</row>
    <row r="46" spans="1:26" ht="15.75">
      <c r="A46" s="132"/>
      <c r="B46" s="126"/>
      <c r="C46" s="126">
        <v>1500000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</row>
    <row r="47" spans="1:26" ht="15.75">
      <c r="A47" s="132"/>
      <c r="B47" s="126"/>
      <c r="C47" s="188">
        <f>C46+C45</f>
        <v>20410610</v>
      </c>
      <c r="D47" s="188"/>
      <c r="E47" s="188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</row>
    <row r="48" spans="1:26" ht="15.75">
      <c r="A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</row>
    <row r="49" ht="15" customHeight="1"/>
    <row r="50" ht="15" customHeight="1"/>
    <row r="51" spans="12:24" ht="15" customHeight="1"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460"/>
      <c r="W51" s="460"/>
      <c r="X51" s="460"/>
    </row>
    <row r="52" spans="12:24" ht="15" customHeight="1"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460"/>
      <c r="W52" s="136"/>
      <c r="X52" s="136"/>
    </row>
    <row r="53" spans="2:24" ht="15" customHeight="1">
      <c r="B53" s="154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</row>
    <row r="54" spans="2:26" ht="18"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</row>
    <row r="55" spans="2:26" ht="18"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</row>
    <row r="56" spans="2:26" ht="18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</row>
    <row r="57" spans="2:26" ht="18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</row>
    <row r="58" spans="2:26" ht="18"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</row>
    <row r="59" spans="2:26" ht="18"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</row>
    <row r="60" spans="3:26" ht="18"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</row>
  </sheetData>
  <sheetProtection/>
  <mergeCells count="25">
    <mergeCell ref="C5:E6"/>
    <mergeCell ref="V5:V7"/>
    <mergeCell ref="V51:V52"/>
    <mergeCell ref="W51:X51"/>
    <mergeCell ref="A4:A7"/>
    <mergeCell ref="B4:B7"/>
    <mergeCell ref="A35:B35"/>
    <mergeCell ref="C4:T4"/>
    <mergeCell ref="W5:W7"/>
    <mergeCell ref="L5:N6"/>
    <mergeCell ref="O6:Q6"/>
    <mergeCell ref="AA4:AB5"/>
    <mergeCell ref="R6:T6"/>
    <mergeCell ref="AC4:AC7"/>
    <mergeCell ref="AA6:AA7"/>
    <mergeCell ref="AB6:AB7"/>
    <mergeCell ref="X6:X7"/>
    <mergeCell ref="Y6:Y7"/>
    <mergeCell ref="U4:Y4"/>
    <mergeCell ref="X5:Y5"/>
    <mergeCell ref="Z4:Z7"/>
    <mergeCell ref="F5:H6"/>
    <mergeCell ref="I5:K6"/>
    <mergeCell ref="U5:U7"/>
    <mergeCell ref="O5:T5"/>
  </mergeCells>
  <conditionalFormatting sqref="X8:X33">
    <cfRule type="top10" priority="98" dxfId="3" stopIfTrue="1" rank="5" bottom="1"/>
    <cfRule type="top10" priority="99" dxfId="61" stopIfTrue="1" rank="5" bottom="1"/>
    <cfRule type="top10" priority="100" dxfId="0" stopIfTrue="1" rank="5"/>
  </conditionalFormatting>
  <conditionalFormatting sqref="V8:V33">
    <cfRule type="top10" priority="454" dxfId="1" stopIfTrue="1" rank="10"/>
    <cfRule type="top10" priority="455" dxfId="0" stopIfTrue="1" rank="5"/>
  </conditionalFormatting>
  <conditionalFormatting sqref="U30">
    <cfRule type="top10" priority="484" dxfId="1" stopIfTrue="1" rank="10"/>
    <cfRule type="top10" priority="485" dxfId="0" stopIfTrue="1" rank="5"/>
  </conditionalFormatting>
  <conditionalFormatting sqref="Z8:Z33">
    <cfRule type="top10" priority="502" dxfId="3" stopIfTrue="1" rank="5" bottom="1"/>
    <cfRule type="top10" priority="503" dxfId="0" stopIfTrue="1" rank="5"/>
  </conditionalFormatting>
  <conditionalFormatting sqref="C30:E30">
    <cfRule type="top10" priority="510" dxfId="1" stopIfTrue="1" rank="10"/>
    <cfRule type="top10" priority="511" dxfId="0" stopIfTrue="1" rank="5"/>
  </conditionalFormatting>
  <conditionalFormatting sqref="O8:S33">
    <cfRule type="top10" priority="515" dxfId="3" stopIfTrue="1" rank="5" bottom="1"/>
    <cfRule type="top10" priority="516" dxfId="0" stopIfTrue="1" rank="5"/>
  </conditionalFormatting>
  <conditionalFormatting sqref="T8:T33">
    <cfRule type="top10" priority="520" dxfId="3" stopIfTrue="1" rank="5" bottom="1"/>
    <cfRule type="top10" priority="521" dxfId="0" stopIfTrue="1" rank="5"/>
  </conditionalFormatting>
  <conditionalFormatting sqref="AC8:AC33">
    <cfRule type="top10" priority="50" dxfId="3" stopIfTrue="1" rank="5" bottom="1"/>
    <cfRule type="top10" priority="51" dxfId="0" stopIfTrue="1" rank="5"/>
  </conditionalFormatting>
  <conditionalFormatting sqref="I8:K33">
    <cfRule type="top10" priority="523" dxfId="0" stopIfTrue="1" rank="5"/>
  </conditionalFormatting>
  <conditionalFormatting sqref="I8:K33">
    <cfRule type="top10" priority="524" dxfId="1" stopIfTrue="1" rank="10"/>
    <cfRule type="top10" priority="525" dxfId="0" stopIfTrue="1" rank="5"/>
  </conditionalFormatting>
  <conditionalFormatting sqref="AA8:AA33">
    <cfRule type="top10" priority="48" dxfId="3" stopIfTrue="1" rank="3" bottom="1"/>
    <cfRule type="top10" priority="49" dxfId="0" stopIfTrue="1" rank="3"/>
  </conditionalFormatting>
  <conditionalFormatting sqref="AB8:AB33">
    <cfRule type="top10" priority="46" dxfId="3" stopIfTrue="1" rank="3" bottom="1"/>
    <cfRule type="top10" priority="47" dxfId="0" stopIfTrue="1" rank="3"/>
  </conditionalFormatting>
  <conditionalFormatting sqref="M8:M33">
    <cfRule type="top10" priority="45" dxfId="0" stopIfTrue="1" rank="5"/>
  </conditionalFormatting>
  <conditionalFormatting sqref="M8:M33">
    <cfRule type="top10" priority="43" dxfId="1" stopIfTrue="1" rank="10"/>
    <cfRule type="top10" priority="44" dxfId="0" stopIfTrue="1" rank="5"/>
  </conditionalFormatting>
  <conditionalFormatting sqref="J8:K33">
    <cfRule type="top10" priority="42" dxfId="0" stopIfTrue="1" rank="5"/>
  </conditionalFormatting>
  <conditionalFormatting sqref="J8:K33">
    <cfRule type="top10" priority="40" dxfId="1" stopIfTrue="1" rank="10"/>
    <cfRule type="top10" priority="41" dxfId="0" stopIfTrue="1" rank="5"/>
  </conditionalFormatting>
  <conditionalFormatting sqref="AF26">
    <cfRule type="top10" priority="39" dxfId="0" stopIfTrue="1" rank="3" bottom="1"/>
  </conditionalFormatting>
  <conditionalFormatting sqref="AF8:AF34">
    <cfRule type="top10" priority="37" dxfId="61" stopIfTrue="1" rank="3" bottom="1"/>
    <cfRule type="top10" priority="38" dxfId="0" stopIfTrue="1" rank="3"/>
  </conditionalFormatting>
  <conditionalFormatting sqref="AE8:AE34">
    <cfRule type="top10" priority="36" dxfId="0" stopIfTrue="1" rank="3"/>
  </conditionalFormatting>
  <conditionalFormatting sqref="AF34">
    <cfRule type="top10" priority="35" dxfId="0" stopIfTrue="1" rank="3" bottom="1"/>
  </conditionalFormatting>
  <conditionalFormatting sqref="AF8:AF33">
    <cfRule type="top10" priority="32" dxfId="0" stopIfTrue="1" rank="3"/>
    <cfRule type="top10" priority="33" dxfId="0" stopIfTrue="1" rank="3"/>
  </conditionalFormatting>
  <conditionalFormatting sqref="D8:D33">
    <cfRule type="top10" priority="27" dxfId="0" stopIfTrue="1" rank="5"/>
  </conditionalFormatting>
  <conditionalFormatting sqref="D8:D33">
    <cfRule type="top10" priority="25" dxfId="1" stopIfTrue="1" rank="10"/>
    <cfRule type="top10" priority="26" dxfId="0" stopIfTrue="1" rank="5"/>
  </conditionalFormatting>
  <conditionalFormatting sqref="L30:M30">
    <cfRule type="top10" priority="23" dxfId="1" stopIfTrue="1" rank="10"/>
    <cfRule type="top10" priority="24" dxfId="0" stopIfTrue="1" rank="5"/>
  </conditionalFormatting>
  <conditionalFormatting sqref="L8:M33">
    <cfRule type="top10" priority="21" dxfId="0" stopIfTrue="1" rank="5"/>
  </conditionalFormatting>
  <conditionalFormatting sqref="I30:J30">
    <cfRule type="top10" priority="16" dxfId="1" stopIfTrue="1" rank="10"/>
    <cfRule type="top10" priority="17" dxfId="0" stopIfTrue="1" rank="5"/>
  </conditionalFormatting>
  <conditionalFormatting sqref="I8:J33">
    <cfRule type="top10" priority="14" dxfId="0" stopIfTrue="1" rank="5"/>
  </conditionalFormatting>
  <conditionalFormatting sqref="J8:J33">
    <cfRule type="top10" priority="13" dxfId="0" stopIfTrue="1" rank="5"/>
  </conditionalFormatting>
  <conditionalFormatting sqref="J8:J33">
    <cfRule type="top10" priority="11" dxfId="1" stopIfTrue="1" rank="10"/>
    <cfRule type="top10" priority="12" dxfId="0" stopIfTrue="1" rank="5"/>
  </conditionalFormatting>
  <conditionalFormatting sqref="Y34 X8:Z33">
    <cfRule type="top10" priority="504" dxfId="3" stopIfTrue="1" rank="5" bottom="1"/>
    <cfRule type="top10" priority="505" dxfId="0" stopIfTrue="1" rank="5"/>
  </conditionalFormatting>
  <conditionalFormatting sqref="C12:E16 C18:E33 C8:E10 E11:E33">
    <cfRule type="top10" priority="512" dxfId="0" stopIfTrue="1" rank="5"/>
  </conditionalFormatting>
  <conditionalFormatting sqref="F8:H8 C8:E33 H9:H33">
    <cfRule type="top10" priority="513" dxfId="0" stopIfTrue="1" rank="5"/>
  </conditionalFormatting>
  <conditionalFormatting sqref="T8:T10 T12:T16 T18:T33">
    <cfRule type="top10" priority="522" dxfId="0" stopIfTrue="1" rank="5"/>
  </conditionalFormatting>
  <conditionalFormatting sqref="AF26 AE8:AE34">
    <cfRule type="top10" priority="30" dxfId="61" stopIfTrue="1" rank="3" bottom="1"/>
    <cfRule type="top10" priority="31" dxfId="0" stopIfTrue="1" rank="3"/>
  </conditionalFormatting>
  <conditionalFormatting sqref="AF34 AE8:AE34">
    <cfRule type="top10" priority="28" dxfId="61" stopIfTrue="1" rank="3" bottom="1"/>
    <cfRule type="top10" priority="29" dxfId="0" stopIfTrue="1" rank="3"/>
  </conditionalFormatting>
  <conditionalFormatting sqref="L12:M16 L18:M33 L8:M10">
    <cfRule type="top10" priority="22" dxfId="0" stopIfTrue="1" rank="5"/>
  </conditionalFormatting>
  <conditionalFormatting sqref="I12:J16 I18:J33 I8:J10">
    <cfRule type="top10" priority="15" dxfId="0" stopIfTrue="1" rank="5"/>
  </conditionalFormatting>
  <printOptions/>
  <pageMargins left="0.1968503937007874" right="0" top="0.3937007874015748" bottom="0.1968503937007874" header="0.31496062992125984" footer="0.31496062992125984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">
      <pane xSplit="2" ySplit="7" topLeftCell="D2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1" sqref="J1"/>
    </sheetView>
  </sheetViews>
  <sheetFormatPr defaultColWidth="7.8515625" defaultRowHeight="12.75"/>
  <cols>
    <col min="1" max="1" width="4.8515625" style="125" customWidth="1"/>
    <col min="2" max="2" width="11.28125" style="125" customWidth="1"/>
    <col min="3" max="3" width="10.140625" style="125" hidden="1" customWidth="1"/>
    <col min="4" max="4" width="9.28125" style="125" customWidth="1"/>
    <col min="5" max="5" width="8.28125" style="125" customWidth="1"/>
    <col min="6" max="6" width="9.8515625" style="125" customWidth="1"/>
    <col min="7" max="7" width="10.140625" style="125" hidden="1" customWidth="1"/>
    <col min="8" max="9" width="11.7109375" style="125" bestFit="1" customWidth="1"/>
    <col min="10" max="10" width="13.140625" style="125" bestFit="1" customWidth="1"/>
    <col min="11" max="11" width="10.28125" style="125" hidden="1" customWidth="1"/>
    <col min="12" max="12" width="8.8515625" style="125" hidden="1" customWidth="1"/>
    <col min="13" max="13" width="7.57421875" style="125" hidden="1" customWidth="1"/>
    <col min="14" max="14" width="10.421875" style="125" hidden="1" customWidth="1"/>
    <col min="15" max="15" width="10.140625" style="125" hidden="1" customWidth="1"/>
    <col min="16" max="16" width="9.00390625" style="125" customWidth="1"/>
    <col min="17" max="17" width="7.421875" style="125" customWidth="1"/>
    <col min="18" max="18" width="9.8515625" style="125" customWidth="1"/>
    <col min="19" max="19" width="9.28125" style="125" hidden="1" customWidth="1"/>
    <col min="20" max="20" width="7.140625" style="125" customWidth="1"/>
    <col min="21" max="21" width="8.8515625" style="125" customWidth="1"/>
    <col min="22" max="22" width="8.7109375" style="125" customWidth="1"/>
    <col min="23" max="23" width="10.421875" style="125" hidden="1" customWidth="1"/>
    <col min="24" max="25" width="7.28125" style="125" customWidth="1"/>
    <col min="26" max="26" width="10.140625" style="125" customWidth="1"/>
    <col min="27" max="16384" width="7.8515625" style="125" customWidth="1"/>
  </cols>
  <sheetData>
    <row r="1" spans="1:26" ht="16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26" t="s">
        <v>133</v>
      </c>
    </row>
    <row r="2" spans="2:30" ht="16.5" customHeight="1">
      <c r="B2" s="352" t="s">
        <v>211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389"/>
      <c r="R2" s="283" t="str">
        <f>'Dec 09 (7)'!N3</f>
        <v>No.1-2(1)/2012-CP&amp;M-LTP    </v>
      </c>
      <c r="S2" s="134"/>
      <c r="T2" s="134"/>
      <c r="U2" s="134"/>
      <c r="V2" s="134"/>
      <c r="W2" s="134"/>
      <c r="X2" s="134"/>
      <c r="Y2" s="134"/>
      <c r="AB2" s="331"/>
      <c r="AC2" s="136"/>
      <c r="AD2" s="332"/>
    </row>
    <row r="3" spans="1:30" ht="13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B3" s="331"/>
      <c r="AC3" s="136"/>
      <c r="AD3" s="332"/>
    </row>
    <row r="4" spans="1:30" ht="21.75" customHeight="1">
      <c r="A4" s="452" t="s">
        <v>18</v>
      </c>
      <c r="B4" s="452" t="s">
        <v>17</v>
      </c>
      <c r="C4" s="462" t="s">
        <v>140</v>
      </c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4"/>
      <c r="AB4" s="331"/>
      <c r="AC4" s="136"/>
      <c r="AD4" s="332"/>
    </row>
    <row r="5" spans="1:30" ht="25.5" customHeight="1">
      <c r="A5" s="452"/>
      <c r="B5" s="452"/>
      <c r="C5" s="452" t="s">
        <v>143</v>
      </c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61" t="s">
        <v>144</v>
      </c>
      <c r="T5" s="461"/>
      <c r="U5" s="461"/>
      <c r="V5" s="461"/>
      <c r="W5" s="461"/>
      <c r="X5" s="461"/>
      <c r="Y5" s="461"/>
      <c r="Z5" s="461"/>
      <c r="AB5" s="331"/>
      <c r="AC5" s="136"/>
      <c r="AD5" s="332"/>
    </row>
    <row r="6" spans="1:30" ht="15" customHeight="1">
      <c r="A6" s="452"/>
      <c r="B6" s="452"/>
      <c r="C6" s="461" t="s">
        <v>189</v>
      </c>
      <c r="D6" s="461"/>
      <c r="E6" s="461"/>
      <c r="F6" s="461"/>
      <c r="G6" s="461" t="s">
        <v>91</v>
      </c>
      <c r="H6" s="461"/>
      <c r="I6" s="461"/>
      <c r="J6" s="461"/>
      <c r="K6" s="461" t="s">
        <v>190</v>
      </c>
      <c r="L6" s="461"/>
      <c r="M6" s="461"/>
      <c r="N6" s="461"/>
      <c r="O6" s="461" t="s">
        <v>212</v>
      </c>
      <c r="P6" s="461"/>
      <c r="Q6" s="461"/>
      <c r="R6" s="461"/>
      <c r="S6" s="461" t="s">
        <v>0</v>
      </c>
      <c r="T6" s="461"/>
      <c r="U6" s="461"/>
      <c r="V6" s="461"/>
      <c r="W6" s="461" t="s">
        <v>187</v>
      </c>
      <c r="X6" s="461"/>
      <c r="Y6" s="461"/>
      <c r="Z6" s="461"/>
      <c r="AB6" s="331"/>
      <c r="AC6" s="136"/>
      <c r="AD6" s="332"/>
    </row>
    <row r="7" spans="1:30" ht="30">
      <c r="A7" s="452"/>
      <c r="B7" s="452"/>
      <c r="C7" s="282" t="s">
        <v>141</v>
      </c>
      <c r="D7" s="282" t="s">
        <v>142</v>
      </c>
      <c r="E7" s="282" t="s">
        <v>164</v>
      </c>
      <c r="F7" s="282" t="s">
        <v>2</v>
      </c>
      <c r="G7" s="282" t="s">
        <v>141</v>
      </c>
      <c r="H7" s="282" t="s">
        <v>142</v>
      </c>
      <c r="I7" s="282" t="s">
        <v>164</v>
      </c>
      <c r="J7" s="282" t="s">
        <v>2</v>
      </c>
      <c r="K7" s="282" t="s">
        <v>141</v>
      </c>
      <c r="L7" s="282" t="s">
        <v>142</v>
      </c>
      <c r="M7" s="282" t="s">
        <v>164</v>
      </c>
      <c r="N7" s="282" t="s">
        <v>2</v>
      </c>
      <c r="O7" s="282" t="s">
        <v>141</v>
      </c>
      <c r="P7" s="282" t="s">
        <v>142</v>
      </c>
      <c r="Q7" s="282" t="s">
        <v>164</v>
      </c>
      <c r="R7" s="282" t="s">
        <v>2</v>
      </c>
      <c r="S7" s="282" t="s">
        <v>141</v>
      </c>
      <c r="T7" s="282" t="s">
        <v>142</v>
      </c>
      <c r="U7" s="282" t="s">
        <v>164</v>
      </c>
      <c r="V7" s="282" t="s">
        <v>2</v>
      </c>
      <c r="W7" s="282" t="s">
        <v>141</v>
      </c>
      <c r="X7" s="282" t="s">
        <v>142</v>
      </c>
      <c r="Y7" s="282" t="s">
        <v>164</v>
      </c>
      <c r="Z7" s="282" t="s">
        <v>2</v>
      </c>
      <c r="AB7" s="331"/>
      <c r="AC7" s="136"/>
      <c r="AD7" s="332"/>
    </row>
    <row r="8" spans="1:30" ht="21" customHeight="1">
      <c r="A8" s="59">
        <v>1</v>
      </c>
      <c r="B8" s="44" t="s">
        <v>39</v>
      </c>
      <c r="C8" s="35">
        <v>8642</v>
      </c>
      <c r="D8" s="348">
        <v>1580</v>
      </c>
      <c r="E8" s="340">
        <v>0</v>
      </c>
      <c r="F8" s="35">
        <f>SUM(D8:E8)</f>
        <v>1580</v>
      </c>
      <c r="G8" s="35">
        <v>8215</v>
      </c>
      <c r="H8" s="35">
        <v>462</v>
      </c>
      <c r="I8" s="35">
        <v>0</v>
      </c>
      <c r="J8" s="35">
        <f>SUM(H8:I8)</f>
        <v>462</v>
      </c>
      <c r="K8" s="231">
        <v>8642</v>
      </c>
      <c r="L8" s="367">
        <v>1625</v>
      </c>
      <c r="M8" s="340">
        <v>0</v>
      </c>
      <c r="N8" s="35">
        <f>K8+L8+M8</f>
        <v>10267</v>
      </c>
      <c r="O8" s="231">
        <v>8642</v>
      </c>
      <c r="P8" s="348">
        <v>1643</v>
      </c>
      <c r="Q8" s="340">
        <v>0</v>
      </c>
      <c r="R8" s="35">
        <f>SUM(P8:Q8)</f>
        <v>1643</v>
      </c>
      <c r="S8" s="35">
        <f>O8-K8</f>
        <v>0</v>
      </c>
      <c r="T8" s="35">
        <f>P8-L8</f>
        <v>18</v>
      </c>
      <c r="U8" s="35">
        <f>Q8-M8</f>
        <v>0</v>
      </c>
      <c r="V8" s="35">
        <f>SUM(T8:U8)</f>
        <v>18</v>
      </c>
      <c r="W8" s="35">
        <f aca="true" t="shared" si="0" ref="W8:W33">O8-C8</f>
        <v>0</v>
      </c>
      <c r="X8" s="35">
        <f aca="true" t="shared" si="1" ref="X8:X33">P8-D8</f>
        <v>63</v>
      </c>
      <c r="Y8" s="35">
        <f aca="true" t="shared" si="2" ref="Y8:Y33">Q8-E8</f>
        <v>0</v>
      </c>
      <c r="Z8" s="35">
        <f>SUM(X8:Y8)</f>
        <v>63</v>
      </c>
      <c r="AB8" s="331"/>
      <c r="AC8" s="136"/>
      <c r="AD8" s="332"/>
    </row>
    <row r="9" spans="1:30" ht="21" customHeight="1">
      <c r="A9" s="60">
        <v>2</v>
      </c>
      <c r="B9" s="45" t="s">
        <v>65</v>
      </c>
      <c r="C9" s="33">
        <v>149888</v>
      </c>
      <c r="D9" s="348">
        <v>2115</v>
      </c>
      <c r="E9" s="343">
        <v>1079</v>
      </c>
      <c r="F9" s="33">
        <f aca="true" t="shared" si="3" ref="F9:F33">SUM(D9:E9)</f>
        <v>3194</v>
      </c>
      <c r="G9" s="33">
        <v>293570</v>
      </c>
      <c r="H9" s="33">
        <v>1435</v>
      </c>
      <c r="I9" s="33">
        <v>10020</v>
      </c>
      <c r="J9" s="33">
        <f aca="true" t="shared" si="4" ref="J9:J33">SUM(H9:I9)</f>
        <v>11455</v>
      </c>
      <c r="K9" s="232">
        <v>149888</v>
      </c>
      <c r="L9" s="367">
        <v>2097</v>
      </c>
      <c r="M9" s="343">
        <v>1191</v>
      </c>
      <c r="N9" s="33">
        <f aca="true" t="shared" si="5" ref="N9:N33">K9+L9+M9</f>
        <v>153176</v>
      </c>
      <c r="O9" s="232">
        <v>149888</v>
      </c>
      <c r="P9" s="348">
        <v>2073</v>
      </c>
      <c r="Q9" s="343">
        <v>1400</v>
      </c>
      <c r="R9" s="33">
        <f aca="true" t="shared" si="6" ref="R9:R33">SUM(P9:Q9)</f>
        <v>3473</v>
      </c>
      <c r="S9" s="33">
        <f aca="true" t="shared" si="7" ref="S9:S33">O9-K9</f>
        <v>0</v>
      </c>
      <c r="T9" s="33">
        <f aca="true" t="shared" si="8" ref="T9:T33">P9-L9</f>
        <v>-24</v>
      </c>
      <c r="U9" s="33">
        <f aca="true" t="shared" si="9" ref="U9:U33">Q9-M9</f>
        <v>209</v>
      </c>
      <c r="V9" s="33">
        <f aca="true" t="shared" si="10" ref="V9:V33">SUM(T9:U9)</f>
        <v>185</v>
      </c>
      <c r="W9" s="33">
        <f t="shared" si="0"/>
        <v>0</v>
      </c>
      <c r="X9" s="33">
        <f t="shared" si="1"/>
        <v>-42</v>
      </c>
      <c r="Y9" s="33">
        <f t="shared" si="2"/>
        <v>321</v>
      </c>
      <c r="Z9" s="33">
        <f aca="true" t="shared" si="11" ref="Z9:Z33">SUM(X9:Y9)</f>
        <v>279</v>
      </c>
      <c r="AB9" s="331"/>
      <c r="AC9" s="136"/>
      <c r="AD9" s="332"/>
    </row>
    <row r="10" spans="1:30" ht="21" customHeight="1">
      <c r="A10" s="61">
        <v>3</v>
      </c>
      <c r="B10" s="46" t="s">
        <v>3</v>
      </c>
      <c r="C10" s="34">
        <v>19869</v>
      </c>
      <c r="D10" s="348">
        <v>7382</v>
      </c>
      <c r="E10" s="349">
        <v>351</v>
      </c>
      <c r="F10" s="34">
        <f t="shared" si="3"/>
        <v>7733</v>
      </c>
      <c r="G10" s="34">
        <v>42935</v>
      </c>
      <c r="H10" s="34">
        <v>2185</v>
      </c>
      <c r="I10" s="34">
        <v>4520</v>
      </c>
      <c r="J10" s="34">
        <f t="shared" si="4"/>
        <v>6705</v>
      </c>
      <c r="K10" s="233">
        <v>19869</v>
      </c>
      <c r="L10" s="367">
        <v>7474</v>
      </c>
      <c r="M10" s="349">
        <v>1083</v>
      </c>
      <c r="N10" s="34">
        <f t="shared" si="5"/>
        <v>28426</v>
      </c>
      <c r="O10" s="233">
        <v>19869</v>
      </c>
      <c r="P10" s="348">
        <v>7518</v>
      </c>
      <c r="Q10" s="349">
        <v>723</v>
      </c>
      <c r="R10" s="34">
        <f t="shared" si="6"/>
        <v>8241</v>
      </c>
      <c r="S10" s="34">
        <f t="shared" si="7"/>
        <v>0</v>
      </c>
      <c r="T10" s="34">
        <f t="shared" si="8"/>
        <v>44</v>
      </c>
      <c r="U10" s="34">
        <f t="shared" si="9"/>
        <v>-360</v>
      </c>
      <c r="V10" s="34">
        <f t="shared" si="10"/>
        <v>-316</v>
      </c>
      <c r="W10" s="34">
        <f t="shared" si="0"/>
        <v>0</v>
      </c>
      <c r="X10" s="34">
        <f t="shared" si="1"/>
        <v>136</v>
      </c>
      <c r="Y10" s="34">
        <f t="shared" si="2"/>
        <v>372</v>
      </c>
      <c r="Z10" s="34">
        <f t="shared" si="11"/>
        <v>508</v>
      </c>
      <c r="AB10" s="331"/>
      <c r="AC10" s="136"/>
      <c r="AD10" s="332"/>
    </row>
    <row r="11" spans="1:30" ht="21" customHeight="1">
      <c r="A11" s="59">
        <v>4</v>
      </c>
      <c r="B11" s="44" t="s">
        <v>31</v>
      </c>
      <c r="C11" s="35">
        <v>113822</v>
      </c>
      <c r="D11" s="348">
        <v>2500</v>
      </c>
      <c r="E11" s="340">
        <v>326</v>
      </c>
      <c r="F11" s="35">
        <f t="shared" si="3"/>
        <v>2826</v>
      </c>
      <c r="G11" s="35">
        <v>143840</v>
      </c>
      <c r="H11" s="35">
        <v>2185</v>
      </c>
      <c r="I11" s="35">
        <v>12720</v>
      </c>
      <c r="J11" s="35">
        <f t="shared" si="4"/>
        <v>14905</v>
      </c>
      <c r="K11" s="231">
        <v>113822</v>
      </c>
      <c r="L11" s="367">
        <v>2497</v>
      </c>
      <c r="M11" s="340">
        <v>1440</v>
      </c>
      <c r="N11" s="35">
        <f t="shared" si="5"/>
        <v>117759</v>
      </c>
      <c r="O11" s="231">
        <v>113822</v>
      </c>
      <c r="P11" s="348">
        <v>2496</v>
      </c>
      <c r="Q11" s="340">
        <v>1701</v>
      </c>
      <c r="R11" s="35">
        <f t="shared" si="6"/>
        <v>4197</v>
      </c>
      <c r="S11" s="35">
        <f t="shared" si="7"/>
        <v>0</v>
      </c>
      <c r="T11" s="35">
        <f t="shared" si="8"/>
        <v>-1</v>
      </c>
      <c r="U11" s="35">
        <f t="shared" si="9"/>
        <v>261</v>
      </c>
      <c r="V11" s="35">
        <f t="shared" si="10"/>
        <v>260</v>
      </c>
      <c r="W11" s="35">
        <f t="shared" si="0"/>
        <v>0</v>
      </c>
      <c r="X11" s="35">
        <f t="shared" si="1"/>
        <v>-4</v>
      </c>
      <c r="Y11" s="35">
        <f t="shared" si="2"/>
        <v>1375</v>
      </c>
      <c r="Z11" s="35">
        <f t="shared" si="11"/>
        <v>1371</v>
      </c>
      <c r="AB11" s="331"/>
      <c r="AC11" s="136"/>
      <c r="AD11" s="332"/>
    </row>
    <row r="12" spans="1:30" ht="21" customHeight="1">
      <c r="A12" s="60">
        <v>5</v>
      </c>
      <c r="B12" s="45" t="s">
        <v>5</v>
      </c>
      <c r="C12" s="33">
        <v>19348</v>
      </c>
      <c r="D12" s="348">
        <v>5061</v>
      </c>
      <c r="E12" s="343">
        <v>357</v>
      </c>
      <c r="F12" s="33">
        <f t="shared" si="3"/>
        <v>5418</v>
      </c>
      <c r="G12" s="33">
        <v>40610</v>
      </c>
      <c r="H12" s="33">
        <v>0</v>
      </c>
      <c r="I12" s="33">
        <v>7760</v>
      </c>
      <c r="J12" s="33">
        <f t="shared" si="4"/>
        <v>7760</v>
      </c>
      <c r="K12" s="232">
        <v>19348</v>
      </c>
      <c r="L12" s="367">
        <v>5008</v>
      </c>
      <c r="M12" s="343">
        <v>365</v>
      </c>
      <c r="N12" s="33">
        <f t="shared" si="5"/>
        <v>24721</v>
      </c>
      <c r="O12" s="232">
        <v>19348</v>
      </c>
      <c r="P12" s="348">
        <v>4930</v>
      </c>
      <c r="Q12" s="343">
        <v>361</v>
      </c>
      <c r="R12" s="33">
        <f t="shared" si="6"/>
        <v>5291</v>
      </c>
      <c r="S12" s="33">
        <f t="shared" si="7"/>
        <v>0</v>
      </c>
      <c r="T12" s="33">
        <f t="shared" si="8"/>
        <v>-78</v>
      </c>
      <c r="U12" s="33">
        <f t="shared" si="9"/>
        <v>-4</v>
      </c>
      <c r="V12" s="33">
        <f t="shared" si="10"/>
        <v>-82</v>
      </c>
      <c r="W12" s="33">
        <f t="shared" si="0"/>
        <v>0</v>
      </c>
      <c r="X12" s="33">
        <f t="shared" si="1"/>
        <v>-131</v>
      </c>
      <c r="Y12" s="33">
        <f t="shared" si="2"/>
        <v>4</v>
      </c>
      <c r="Z12" s="33">
        <f t="shared" si="11"/>
        <v>-127</v>
      </c>
      <c r="AB12" s="331"/>
      <c r="AC12" s="136"/>
      <c r="AD12" s="332"/>
    </row>
    <row r="13" spans="1:30" ht="21" customHeight="1">
      <c r="A13" s="61">
        <v>6</v>
      </c>
      <c r="B13" s="46" t="s">
        <v>32</v>
      </c>
      <c r="C13" s="34">
        <v>107801</v>
      </c>
      <c r="D13" s="348">
        <v>4998</v>
      </c>
      <c r="E13" s="349">
        <v>515</v>
      </c>
      <c r="F13" s="34">
        <f t="shared" si="3"/>
        <v>5513</v>
      </c>
      <c r="G13" s="34">
        <v>165230</v>
      </c>
      <c r="H13" s="34">
        <v>1530</v>
      </c>
      <c r="I13" s="34">
        <v>2500</v>
      </c>
      <c r="J13" s="34">
        <f t="shared" si="4"/>
        <v>4030</v>
      </c>
      <c r="K13" s="233">
        <v>107801</v>
      </c>
      <c r="L13" s="367">
        <v>4875</v>
      </c>
      <c r="M13" s="349">
        <v>457</v>
      </c>
      <c r="N13" s="34">
        <f t="shared" si="5"/>
        <v>113133</v>
      </c>
      <c r="O13" s="233">
        <v>107801</v>
      </c>
      <c r="P13" s="348">
        <v>4787</v>
      </c>
      <c r="Q13" s="349">
        <v>455</v>
      </c>
      <c r="R13" s="34">
        <f t="shared" si="6"/>
        <v>5242</v>
      </c>
      <c r="S13" s="34">
        <f t="shared" si="7"/>
        <v>0</v>
      </c>
      <c r="T13" s="34">
        <f t="shared" si="8"/>
        <v>-88</v>
      </c>
      <c r="U13" s="34">
        <f t="shared" si="9"/>
        <v>-2</v>
      </c>
      <c r="V13" s="34">
        <f t="shared" si="10"/>
        <v>-90</v>
      </c>
      <c r="W13" s="34">
        <f t="shared" si="0"/>
        <v>0</v>
      </c>
      <c r="X13" s="34">
        <f t="shared" si="1"/>
        <v>-211</v>
      </c>
      <c r="Y13" s="34">
        <f t="shared" si="2"/>
        <v>-60</v>
      </c>
      <c r="Z13" s="34">
        <f t="shared" si="11"/>
        <v>-271</v>
      </c>
      <c r="AB13" s="331"/>
      <c r="AC13" s="136"/>
      <c r="AD13" s="332"/>
    </row>
    <row r="14" spans="1:30" ht="21" customHeight="1">
      <c r="A14" s="59">
        <v>7</v>
      </c>
      <c r="B14" s="44" t="s">
        <v>66</v>
      </c>
      <c r="C14" s="35">
        <v>142494</v>
      </c>
      <c r="D14" s="348">
        <v>1364</v>
      </c>
      <c r="E14" s="340">
        <v>995</v>
      </c>
      <c r="F14" s="35">
        <f t="shared" si="3"/>
        <v>2359</v>
      </c>
      <c r="G14" s="35">
        <v>86025</v>
      </c>
      <c r="H14" s="35">
        <v>1310</v>
      </c>
      <c r="I14" s="35">
        <v>2780</v>
      </c>
      <c r="J14" s="35">
        <f t="shared" si="4"/>
        <v>4090</v>
      </c>
      <c r="K14" s="231">
        <v>142494</v>
      </c>
      <c r="L14" s="367">
        <v>1390</v>
      </c>
      <c r="M14" s="340">
        <v>1101</v>
      </c>
      <c r="N14" s="35">
        <f t="shared" si="5"/>
        <v>144985</v>
      </c>
      <c r="O14" s="231">
        <v>142494</v>
      </c>
      <c r="P14" s="348">
        <v>1383</v>
      </c>
      <c r="Q14" s="340">
        <v>1151</v>
      </c>
      <c r="R14" s="35">
        <f t="shared" si="6"/>
        <v>2534</v>
      </c>
      <c r="S14" s="35">
        <f t="shared" si="7"/>
        <v>0</v>
      </c>
      <c r="T14" s="35">
        <f t="shared" si="8"/>
        <v>-7</v>
      </c>
      <c r="U14" s="35">
        <f t="shared" si="9"/>
        <v>50</v>
      </c>
      <c r="V14" s="35">
        <f t="shared" si="10"/>
        <v>43</v>
      </c>
      <c r="W14" s="35">
        <f t="shared" si="0"/>
        <v>0</v>
      </c>
      <c r="X14" s="35">
        <f t="shared" si="1"/>
        <v>19</v>
      </c>
      <c r="Y14" s="35">
        <f t="shared" si="2"/>
        <v>156</v>
      </c>
      <c r="Z14" s="35">
        <f t="shared" si="11"/>
        <v>175</v>
      </c>
      <c r="AB14" s="331"/>
      <c r="AC14" s="136"/>
      <c r="AD14" s="332"/>
    </row>
    <row r="15" spans="1:30" ht="21" customHeight="1">
      <c r="A15" s="60">
        <v>8</v>
      </c>
      <c r="B15" s="45" t="s">
        <v>67</v>
      </c>
      <c r="C15" s="33">
        <v>35240</v>
      </c>
      <c r="D15" s="348">
        <v>1678</v>
      </c>
      <c r="E15" s="343">
        <v>225</v>
      </c>
      <c r="F15" s="33">
        <f t="shared" si="3"/>
        <v>1903</v>
      </c>
      <c r="G15" s="33">
        <v>46965</v>
      </c>
      <c r="H15" s="33">
        <v>1605</v>
      </c>
      <c r="I15" s="33">
        <v>1860</v>
      </c>
      <c r="J15" s="33">
        <f t="shared" si="4"/>
        <v>3465</v>
      </c>
      <c r="K15" s="232">
        <v>35240</v>
      </c>
      <c r="L15" s="367">
        <v>1640</v>
      </c>
      <c r="M15" s="343">
        <v>286</v>
      </c>
      <c r="N15" s="33">
        <f t="shared" si="5"/>
        <v>37166</v>
      </c>
      <c r="O15" s="232">
        <v>35240</v>
      </c>
      <c r="P15" s="348">
        <v>1642</v>
      </c>
      <c r="Q15" s="343">
        <v>339</v>
      </c>
      <c r="R15" s="33">
        <f t="shared" si="6"/>
        <v>1981</v>
      </c>
      <c r="S15" s="33">
        <f t="shared" si="7"/>
        <v>0</v>
      </c>
      <c r="T15" s="33">
        <f t="shared" si="8"/>
        <v>2</v>
      </c>
      <c r="U15" s="33">
        <f t="shared" si="9"/>
        <v>53</v>
      </c>
      <c r="V15" s="33">
        <f t="shared" si="10"/>
        <v>55</v>
      </c>
      <c r="W15" s="33">
        <f t="shared" si="0"/>
        <v>0</v>
      </c>
      <c r="X15" s="33">
        <f t="shared" si="1"/>
        <v>-36</v>
      </c>
      <c r="Y15" s="33">
        <f t="shared" si="2"/>
        <v>114</v>
      </c>
      <c r="Z15" s="33">
        <f t="shared" si="11"/>
        <v>78</v>
      </c>
      <c r="AB15" s="331"/>
      <c r="AC15" s="136"/>
      <c r="AD15" s="332"/>
    </row>
    <row r="16" spans="1:30" ht="21" customHeight="1">
      <c r="A16" s="61">
        <v>9</v>
      </c>
      <c r="B16" s="46" t="s">
        <v>33</v>
      </c>
      <c r="C16" s="34">
        <v>652</v>
      </c>
      <c r="D16" s="348">
        <v>4341</v>
      </c>
      <c r="E16" s="349">
        <v>1</v>
      </c>
      <c r="F16" s="34">
        <f t="shared" si="3"/>
        <v>4342</v>
      </c>
      <c r="G16" s="34">
        <v>48050</v>
      </c>
      <c r="H16" s="34">
        <v>1375</v>
      </c>
      <c r="I16" s="34">
        <v>2160</v>
      </c>
      <c r="J16" s="34">
        <f t="shared" si="4"/>
        <v>3535</v>
      </c>
      <c r="K16" s="233">
        <v>652</v>
      </c>
      <c r="L16" s="367">
        <v>4438</v>
      </c>
      <c r="M16" s="349">
        <v>1</v>
      </c>
      <c r="N16" s="34">
        <f t="shared" si="5"/>
        <v>5091</v>
      </c>
      <c r="O16" s="233">
        <v>652</v>
      </c>
      <c r="P16" s="348">
        <v>4246</v>
      </c>
      <c r="Q16" s="349">
        <v>1</v>
      </c>
      <c r="R16" s="34">
        <f t="shared" si="6"/>
        <v>4247</v>
      </c>
      <c r="S16" s="34">
        <f t="shared" si="7"/>
        <v>0</v>
      </c>
      <c r="T16" s="34">
        <f t="shared" si="8"/>
        <v>-192</v>
      </c>
      <c r="U16" s="34">
        <f t="shared" si="9"/>
        <v>0</v>
      </c>
      <c r="V16" s="34">
        <f t="shared" si="10"/>
        <v>-192</v>
      </c>
      <c r="W16" s="34">
        <f t="shared" si="0"/>
        <v>0</v>
      </c>
      <c r="X16" s="34">
        <f t="shared" si="1"/>
        <v>-95</v>
      </c>
      <c r="Y16" s="34">
        <f t="shared" si="2"/>
        <v>0</v>
      </c>
      <c r="Z16" s="34">
        <f t="shared" si="11"/>
        <v>-95</v>
      </c>
      <c r="AB16" s="331"/>
      <c r="AC16" s="136"/>
      <c r="AD16" s="332"/>
    </row>
    <row r="17" spans="1:30" ht="21" customHeight="1">
      <c r="A17" s="59">
        <v>10</v>
      </c>
      <c r="B17" s="44" t="s">
        <v>6</v>
      </c>
      <c r="C17" s="35">
        <v>57579</v>
      </c>
      <c r="D17" s="348">
        <v>2297</v>
      </c>
      <c r="E17" s="340">
        <v>654</v>
      </c>
      <c r="F17" s="35">
        <f t="shared" si="3"/>
        <v>2951</v>
      </c>
      <c r="G17" s="35">
        <v>54560</v>
      </c>
      <c r="H17" s="35">
        <v>435</v>
      </c>
      <c r="I17" s="35">
        <v>10540</v>
      </c>
      <c r="J17" s="35">
        <f t="shared" si="4"/>
        <v>10975</v>
      </c>
      <c r="K17" s="231">
        <v>57579</v>
      </c>
      <c r="L17" s="367">
        <v>2340</v>
      </c>
      <c r="M17" s="340">
        <v>1542</v>
      </c>
      <c r="N17" s="35">
        <f t="shared" si="5"/>
        <v>61461</v>
      </c>
      <c r="O17" s="231">
        <v>57579</v>
      </c>
      <c r="P17" s="348">
        <v>2373</v>
      </c>
      <c r="Q17" s="340">
        <v>1433</v>
      </c>
      <c r="R17" s="35">
        <f t="shared" si="6"/>
        <v>3806</v>
      </c>
      <c r="S17" s="35">
        <f t="shared" si="7"/>
        <v>0</v>
      </c>
      <c r="T17" s="35">
        <f t="shared" si="8"/>
        <v>33</v>
      </c>
      <c r="U17" s="35">
        <f t="shared" si="9"/>
        <v>-109</v>
      </c>
      <c r="V17" s="35">
        <f t="shared" si="10"/>
        <v>-76</v>
      </c>
      <c r="W17" s="35">
        <f t="shared" si="0"/>
        <v>0</v>
      </c>
      <c r="X17" s="35">
        <f t="shared" si="1"/>
        <v>76</v>
      </c>
      <c r="Y17" s="35">
        <f t="shared" si="2"/>
        <v>779</v>
      </c>
      <c r="Z17" s="35">
        <f t="shared" si="11"/>
        <v>855</v>
      </c>
      <c r="AB17" s="331"/>
      <c r="AC17" s="136"/>
      <c r="AD17" s="332"/>
    </row>
    <row r="18" spans="1:30" ht="21" customHeight="1">
      <c r="A18" s="60">
        <v>11</v>
      </c>
      <c r="B18" s="45" t="s">
        <v>34</v>
      </c>
      <c r="C18" s="33">
        <v>160042</v>
      </c>
      <c r="D18" s="348">
        <v>7252</v>
      </c>
      <c r="E18" s="343">
        <v>957</v>
      </c>
      <c r="F18" s="33">
        <f t="shared" si="3"/>
        <v>8209</v>
      </c>
      <c r="G18" s="33">
        <v>184760</v>
      </c>
      <c r="H18" s="33">
        <v>650</v>
      </c>
      <c r="I18" s="33">
        <v>3400</v>
      </c>
      <c r="J18" s="33">
        <f t="shared" si="4"/>
        <v>4050</v>
      </c>
      <c r="K18" s="232">
        <v>160042</v>
      </c>
      <c r="L18" s="367">
        <v>7280</v>
      </c>
      <c r="M18" s="343">
        <v>957</v>
      </c>
      <c r="N18" s="33">
        <f t="shared" si="5"/>
        <v>168279</v>
      </c>
      <c r="O18" s="232">
        <v>160042</v>
      </c>
      <c r="P18" s="348">
        <v>7247</v>
      </c>
      <c r="Q18" s="343">
        <v>1223</v>
      </c>
      <c r="R18" s="33">
        <f t="shared" si="6"/>
        <v>8470</v>
      </c>
      <c r="S18" s="33">
        <f t="shared" si="7"/>
        <v>0</v>
      </c>
      <c r="T18" s="33">
        <f t="shared" si="8"/>
        <v>-33</v>
      </c>
      <c r="U18" s="33">
        <f t="shared" si="9"/>
        <v>266</v>
      </c>
      <c r="V18" s="33">
        <f t="shared" si="10"/>
        <v>233</v>
      </c>
      <c r="W18" s="33">
        <f t="shared" si="0"/>
        <v>0</v>
      </c>
      <c r="X18" s="33">
        <f t="shared" si="1"/>
        <v>-5</v>
      </c>
      <c r="Y18" s="33">
        <f t="shared" si="2"/>
        <v>266</v>
      </c>
      <c r="Z18" s="33">
        <f t="shared" si="11"/>
        <v>261</v>
      </c>
      <c r="AB18" s="331"/>
      <c r="AC18" s="136"/>
      <c r="AD18" s="332"/>
    </row>
    <row r="19" spans="1:30" ht="21" customHeight="1">
      <c r="A19" s="61">
        <v>12</v>
      </c>
      <c r="B19" s="46" t="s">
        <v>35</v>
      </c>
      <c r="C19" s="34">
        <v>113530</v>
      </c>
      <c r="D19" s="348">
        <v>6081</v>
      </c>
      <c r="E19" s="349">
        <v>8913</v>
      </c>
      <c r="F19" s="34">
        <f t="shared" si="3"/>
        <v>14994</v>
      </c>
      <c r="G19" s="34">
        <v>161665</v>
      </c>
      <c r="H19" s="34">
        <v>7435</v>
      </c>
      <c r="I19" s="34">
        <v>36000</v>
      </c>
      <c r="J19" s="34">
        <f t="shared" si="4"/>
        <v>43435</v>
      </c>
      <c r="K19" s="233">
        <v>113530</v>
      </c>
      <c r="L19" s="367">
        <v>6671</v>
      </c>
      <c r="M19" s="349">
        <v>9316</v>
      </c>
      <c r="N19" s="34">
        <f t="shared" si="5"/>
        <v>129517</v>
      </c>
      <c r="O19" s="233">
        <v>113530</v>
      </c>
      <c r="P19" s="348">
        <v>6699</v>
      </c>
      <c r="Q19" s="349">
        <v>9190</v>
      </c>
      <c r="R19" s="34">
        <f t="shared" si="6"/>
        <v>15889</v>
      </c>
      <c r="S19" s="34">
        <f t="shared" si="7"/>
        <v>0</v>
      </c>
      <c r="T19" s="34">
        <f t="shared" si="8"/>
        <v>28</v>
      </c>
      <c r="U19" s="34">
        <f t="shared" si="9"/>
        <v>-126</v>
      </c>
      <c r="V19" s="34">
        <f t="shared" si="10"/>
        <v>-98</v>
      </c>
      <c r="W19" s="34">
        <f t="shared" si="0"/>
        <v>0</v>
      </c>
      <c r="X19" s="34">
        <f t="shared" si="1"/>
        <v>618</v>
      </c>
      <c r="Y19" s="34">
        <f t="shared" si="2"/>
        <v>277</v>
      </c>
      <c r="Z19" s="34">
        <f t="shared" si="11"/>
        <v>895</v>
      </c>
      <c r="AB19" s="331"/>
      <c r="AC19" s="136"/>
      <c r="AD19" s="332"/>
    </row>
    <row r="20" spans="1:30" ht="21" customHeight="1">
      <c r="A20" s="59">
        <v>13</v>
      </c>
      <c r="B20" s="44" t="s">
        <v>68</v>
      </c>
      <c r="C20" s="35">
        <v>36020</v>
      </c>
      <c r="D20" s="348">
        <v>8092</v>
      </c>
      <c r="E20" s="350">
        <v>1049</v>
      </c>
      <c r="F20" s="35">
        <f t="shared" si="3"/>
        <v>9141</v>
      </c>
      <c r="G20" s="35">
        <v>101370</v>
      </c>
      <c r="H20" s="35">
        <v>3435</v>
      </c>
      <c r="I20" s="35">
        <v>17240</v>
      </c>
      <c r="J20" s="35">
        <f t="shared" si="4"/>
        <v>20675</v>
      </c>
      <c r="K20" s="231">
        <v>36020</v>
      </c>
      <c r="L20" s="367">
        <v>8092</v>
      </c>
      <c r="M20" s="350">
        <v>1239</v>
      </c>
      <c r="N20" s="35">
        <f t="shared" si="5"/>
        <v>45351</v>
      </c>
      <c r="O20" s="231">
        <v>36020</v>
      </c>
      <c r="P20" s="348">
        <v>8091</v>
      </c>
      <c r="Q20" s="350">
        <v>1206</v>
      </c>
      <c r="R20" s="35">
        <f t="shared" si="6"/>
        <v>9297</v>
      </c>
      <c r="S20" s="35">
        <f t="shared" si="7"/>
        <v>0</v>
      </c>
      <c r="T20" s="35">
        <f t="shared" si="8"/>
        <v>-1</v>
      </c>
      <c r="U20" s="35">
        <f t="shared" si="9"/>
        <v>-33</v>
      </c>
      <c r="V20" s="35">
        <f t="shared" si="10"/>
        <v>-34</v>
      </c>
      <c r="W20" s="35">
        <f t="shared" si="0"/>
        <v>0</v>
      </c>
      <c r="X20" s="35">
        <f t="shared" si="1"/>
        <v>-1</v>
      </c>
      <c r="Y20" s="35">
        <f t="shared" si="2"/>
        <v>157</v>
      </c>
      <c r="Z20" s="35">
        <f t="shared" si="11"/>
        <v>156</v>
      </c>
      <c r="AB20" s="331"/>
      <c r="AC20" s="136"/>
      <c r="AD20" s="332"/>
    </row>
    <row r="21" spans="1:30" ht="21" customHeight="1">
      <c r="A21" s="60">
        <v>14</v>
      </c>
      <c r="B21" s="45" t="s">
        <v>36</v>
      </c>
      <c r="C21" s="33">
        <v>217609</v>
      </c>
      <c r="D21" s="348">
        <v>4598</v>
      </c>
      <c r="E21" s="351">
        <v>370</v>
      </c>
      <c r="F21" s="33">
        <f t="shared" si="3"/>
        <v>4968</v>
      </c>
      <c r="G21" s="33">
        <v>267220</v>
      </c>
      <c r="H21" s="33">
        <v>1515</v>
      </c>
      <c r="I21" s="33">
        <v>12640</v>
      </c>
      <c r="J21" s="33">
        <f t="shared" si="4"/>
        <v>14155</v>
      </c>
      <c r="K21" s="232">
        <v>217609</v>
      </c>
      <c r="L21" s="367">
        <v>4569</v>
      </c>
      <c r="M21" s="351">
        <v>344</v>
      </c>
      <c r="N21" s="33">
        <f t="shared" si="5"/>
        <v>222522</v>
      </c>
      <c r="O21" s="232">
        <v>217609</v>
      </c>
      <c r="P21" s="348">
        <v>4429</v>
      </c>
      <c r="Q21" s="351">
        <v>344</v>
      </c>
      <c r="R21" s="33">
        <f t="shared" si="6"/>
        <v>4773</v>
      </c>
      <c r="S21" s="33">
        <f t="shared" si="7"/>
        <v>0</v>
      </c>
      <c r="T21" s="33">
        <f t="shared" si="8"/>
        <v>-140</v>
      </c>
      <c r="U21" s="33">
        <f t="shared" si="9"/>
        <v>0</v>
      </c>
      <c r="V21" s="33">
        <f t="shared" si="10"/>
        <v>-140</v>
      </c>
      <c r="W21" s="33">
        <f t="shared" si="0"/>
        <v>0</v>
      </c>
      <c r="X21" s="33">
        <f t="shared" si="1"/>
        <v>-169</v>
      </c>
      <c r="Y21" s="33">
        <f t="shared" si="2"/>
        <v>-26</v>
      </c>
      <c r="Z21" s="33">
        <f t="shared" si="11"/>
        <v>-195</v>
      </c>
      <c r="AB21" s="331"/>
      <c r="AC21" s="136"/>
      <c r="AD21" s="332"/>
    </row>
    <row r="22" spans="1:30" ht="21" customHeight="1">
      <c r="A22" s="61">
        <v>15</v>
      </c>
      <c r="B22" s="46" t="s">
        <v>13</v>
      </c>
      <c r="C22" s="34">
        <v>11673</v>
      </c>
      <c r="D22" s="348">
        <v>2663</v>
      </c>
      <c r="E22" s="351">
        <v>300</v>
      </c>
      <c r="F22" s="34">
        <f t="shared" si="3"/>
        <v>2963</v>
      </c>
      <c r="G22" s="34">
        <v>15035</v>
      </c>
      <c r="H22" s="34">
        <v>1090</v>
      </c>
      <c r="I22" s="34">
        <v>2220</v>
      </c>
      <c r="J22" s="34">
        <f>SUM(H22:I22)</f>
        <v>3310</v>
      </c>
      <c r="K22" s="233">
        <v>11673</v>
      </c>
      <c r="L22" s="367">
        <v>2711</v>
      </c>
      <c r="M22" s="351">
        <v>460</v>
      </c>
      <c r="N22" s="34">
        <f t="shared" si="5"/>
        <v>14844</v>
      </c>
      <c r="O22" s="233">
        <v>11673</v>
      </c>
      <c r="P22" s="348">
        <v>2767</v>
      </c>
      <c r="Q22" s="351">
        <v>572</v>
      </c>
      <c r="R22" s="34">
        <f t="shared" si="6"/>
        <v>3339</v>
      </c>
      <c r="S22" s="34">
        <f t="shared" si="7"/>
        <v>0</v>
      </c>
      <c r="T22" s="34">
        <f t="shared" si="8"/>
        <v>56</v>
      </c>
      <c r="U22" s="34">
        <f t="shared" si="9"/>
        <v>112</v>
      </c>
      <c r="V22" s="34">
        <f t="shared" si="10"/>
        <v>168</v>
      </c>
      <c r="W22" s="34">
        <f t="shared" si="0"/>
        <v>0</v>
      </c>
      <c r="X22" s="34">
        <f t="shared" si="1"/>
        <v>104</v>
      </c>
      <c r="Y22" s="34">
        <f t="shared" si="2"/>
        <v>272</v>
      </c>
      <c r="Z22" s="34">
        <f t="shared" si="11"/>
        <v>376</v>
      </c>
      <c r="AB22" s="331"/>
      <c r="AC22" s="136"/>
      <c r="AD22" s="332"/>
    </row>
    <row r="23" spans="1:30" ht="21" customHeight="1">
      <c r="A23" s="60">
        <v>16</v>
      </c>
      <c r="B23" s="45" t="s">
        <v>12</v>
      </c>
      <c r="C23" s="35">
        <v>19044</v>
      </c>
      <c r="D23" s="348">
        <v>3487</v>
      </c>
      <c r="E23" s="351">
        <v>56</v>
      </c>
      <c r="F23" s="35">
        <f t="shared" si="3"/>
        <v>3543</v>
      </c>
      <c r="G23" s="35">
        <v>17980</v>
      </c>
      <c r="H23" s="35">
        <v>3500</v>
      </c>
      <c r="I23" s="35">
        <v>2360</v>
      </c>
      <c r="J23" s="35">
        <f>SUM(H23:I23)</f>
        <v>5860</v>
      </c>
      <c r="K23" s="231">
        <v>19044</v>
      </c>
      <c r="L23" s="367">
        <v>3510</v>
      </c>
      <c r="M23" s="351">
        <v>144</v>
      </c>
      <c r="N23" s="35">
        <f t="shared" si="5"/>
        <v>22698</v>
      </c>
      <c r="O23" s="231">
        <v>19044</v>
      </c>
      <c r="P23" s="348">
        <v>3529</v>
      </c>
      <c r="Q23" s="351">
        <v>199</v>
      </c>
      <c r="R23" s="35">
        <f t="shared" si="6"/>
        <v>3728</v>
      </c>
      <c r="S23" s="35">
        <f t="shared" si="7"/>
        <v>0</v>
      </c>
      <c r="T23" s="35">
        <f t="shared" si="8"/>
        <v>19</v>
      </c>
      <c r="U23" s="35">
        <f t="shared" si="9"/>
        <v>55</v>
      </c>
      <c r="V23" s="35">
        <f t="shared" si="10"/>
        <v>74</v>
      </c>
      <c r="W23" s="35">
        <f t="shared" si="0"/>
        <v>0</v>
      </c>
      <c r="X23" s="35">
        <f t="shared" si="1"/>
        <v>42</v>
      </c>
      <c r="Y23" s="35">
        <f t="shared" si="2"/>
        <v>143</v>
      </c>
      <c r="Z23" s="35">
        <f t="shared" si="11"/>
        <v>185</v>
      </c>
      <c r="AB23" s="331"/>
      <c r="AC23" s="136"/>
      <c r="AD23" s="332"/>
    </row>
    <row r="24" spans="1:30" ht="21" customHeight="1">
      <c r="A24" s="60">
        <v>17</v>
      </c>
      <c r="B24" s="45" t="s">
        <v>69</v>
      </c>
      <c r="C24" s="33">
        <v>92181</v>
      </c>
      <c r="D24" s="348">
        <v>3968</v>
      </c>
      <c r="E24" s="351">
        <v>257</v>
      </c>
      <c r="F24" s="33">
        <f t="shared" si="3"/>
        <v>4225</v>
      </c>
      <c r="G24" s="33">
        <v>142600</v>
      </c>
      <c r="H24" s="33">
        <v>1310</v>
      </c>
      <c r="I24" s="33">
        <v>12900</v>
      </c>
      <c r="J24" s="33">
        <f t="shared" si="4"/>
        <v>14210</v>
      </c>
      <c r="K24" s="232">
        <v>92181</v>
      </c>
      <c r="L24" s="367">
        <v>3783</v>
      </c>
      <c r="M24" s="351">
        <v>737</v>
      </c>
      <c r="N24" s="33">
        <f t="shared" si="5"/>
        <v>96701</v>
      </c>
      <c r="O24" s="232">
        <v>92181</v>
      </c>
      <c r="P24" s="348">
        <v>3869</v>
      </c>
      <c r="Q24" s="351">
        <v>1078</v>
      </c>
      <c r="R24" s="33">
        <f t="shared" si="6"/>
        <v>4947</v>
      </c>
      <c r="S24" s="33">
        <f t="shared" si="7"/>
        <v>0</v>
      </c>
      <c r="T24" s="33">
        <f t="shared" si="8"/>
        <v>86</v>
      </c>
      <c r="U24" s="33">
        <f t="shared" si="9"/>
        <v>341</v>
      </c>
      <c r="V24" s="33">
        <f t="shared" si="10"/>
        <v>427</v>
      </c>
      <c r="W24" s="33">
        <f t="shared" si="0"/>
        <v>0</v>
      </c>
      <c r="X24" s="33">
        <f t="shared" si="1"/>
        <v>-99</v>
      </c>
      <c r="Y24" s="33">
        <f t="shared" si="2"/>
        <v>821</v>
      </c>
      <c r="Z24" s="33">
        <f t="shared" si="11"/>
        <v>722</v>
      </c>
      <c r="AB24" s="331"/>
      <c r="AC24" s="136"/>
      <c r="AD24" s="332"/>
    </row>
    <row r="25" spans="1:30" ht="21" customHeight="1">
      <c r="A25" s="61">
        <v>18</v>
      </c>
      <c r="B25" s="46" t="s">
        <v>37</v>
      </c>
      <c r="C25" s="34">
        <v>213508</v>
      </c>
      <c r="D25" s="348">
        <v>1433</v>
      </c>
      <c r="E25" s="351">
        <v>10042</v>
      </c>
      <c r="F25" s="34">
        <f t="shared" si="3"/>
        <v>11475</v>
      </c>
      <c r="G25" s="34">
        <v>121055</v>
      </c>
      <c r="H25" s="34">
        <v>2185</v>
      </c>
      <c r="I25" s="34">
        <v>28900</v>
      </c>
      <c r="J25" s="34">
        <f t="shared" si="4"/>
        <v>31085</v>
      </c>
      <c r="K25" s="233">
        <v>213508</v>
      </c>
      <c r="L25" s="367">
        <v>1346</v>
      </c>
      <c r="M25" s="351">
        <v>10436</v>
      </c>
      <c r="N25" s="34">
        <f t="shared" si="5"/>
        <v>225290</v>
      </c>
      <c r="O25" s="233">
        <v>213508</v>
      </c>
      <c r="P25" s="348">
        <v>1328</v>
      </c>
      <c r="Q25" s="351">
        <v>10390</v>
      </c>
      <c r="R25" s="34">
        <f t="shared" si="6"/>
        <v>11718</v>
      </c>
      <c r="S25" s="34">
        <f t="shared" si="7"/>
        <v>0</v>
      </c>
      <c r="T25" s="34">
        <f t="shared" si="8"/>
        <v>-18</v>
      </c>
      <c r="U25" s="34">
        <f t="shared" si="9"/>
        <v>-46</v>
      </c>
      <c r="V25" s="34">
        <f t="shared" si="10"/>
        <v>-64</v>
      </c>
      <c r="W25" s="34">
        <f t="shared" si="0"/>
        <v>0</v>
      </c>
      <c r="X25" s="34">
        <f t="shared" si="1"/>
        <v>-105</v>
      </c>
      <c r="Y25" s="34">
        <f t="shared" si="2"/>
        <v>348</v>
      </c>
      <c r="Z25" s="34">
        <f t="shared" si="11"/>
        <v>243</v>
      </c>
      <c r="AB25" s="331"/>
      <c r="AC25" s="136"/>
      <c r="AD25" s="332"/>
    </row>
    <row r="26" spans="1:30" ht="21" customHeight="1">
      <c r="A26" s="59">
        <v>19</v>
      </c>
      <c r="B26" s="44" t="s">
        <v>70</v>
      </c>
      <c r="C26" s="35">
        <v>149541</v>
      </c>
      <c r="D26" s="348">
        <v>6739</v>
      </c>
      <c r="E26" s="351">
        <v>235</v>
      </c>
      <c r="F26" s="35">
        <f t="shared" si="3"/>
        <v>6974</v>
      </c>
      <c r="G26" s="35">
        <v>144925</v>
      </c>
      <c r="H26" s="35">
        <v>3435</v>
      </c>
      <c r="I26" s="35">
        <v>16320</v>
      </c>
      <c r="J26" s="35">
        <f t="shared" si="4"/>
        <v>19755</v>
      </c>
      <c r="K26" s="231">
        <v>149541</v>
      </c>
      <c r="L26" s="367">
        <v>5171</v>
      </c>
      <c r="M26" s="351">
        <v>242</v>
      </c>
      <c r="N26" s="35">
        <f t="shared" si="5"/>
        <v>154954</v>
      </c>
      <c r="O26" s="231">
        <v>149541</v>
      </c>
      <c r="P26" s="348">
        <v>6603</v>
      </c>
      <c r="Q26" s="351">
        <v>240</v>
      </c>
      <c r="R26" s="35">
        <f t="shared" si="6"/>
        <v>6843</v>
      </c>
      <c r="S26" s="35">
        <f t="shared" si="7"/>
        <v>0</v>
      </c>
      <c r="T26" s="35">
        <f t="shared" si="8"/>
        <v>1432</v>
      </c>
      <c r="U26" s="35">
        <f t="shared" si="9"/>
        <v>-2</v>
      </c>
      <c r="V26" s="35">
        <f t="shared" si="10"/>
        <v>1430</v>
      </c>
      <c r="W26" s="35">
        <f t="shared" si="0"/>
        <v>0</v>
      </c>
      <c r="X26" s="35">
        <f t="shared" si="1"/>
        <v>-136</v>
      </c>
      <c r="Y26" s="35">
        <f t="shared" si="2"/>
        <v>5</v>
      </c>
      <c r="Z26" s="35">
        <f t="shared" si="11"/>
        <v>-131</v>
      </c>
      <c r="AB26" s="331"/>
      <c r="AC26" s="136"/>
      <c r="AD26" s="332"/>
    </row>
    <row r="27" spans="1:30" ht="21" customHeight="1">
      <c r="A27" s="60">
        <v>20</v>
      </c>
      <c r="B27" s="45" t="s">
        <v>71</v>
      </c>
      <c r="C27" s="33">
        <v>176785</v>
      </c>
      <c r="D27" s="348">
        <v>6048</v>
      </c>
      <c r="E27" s="351">
        <v>3226</v>
      </c>
      <c r="F27" s="33">
        <f t="shared" si="3"/>
        <v>9274</v>
      </c>
      <c r="G27" s="33">
        <v>295895</v>
      </c>
      <c r="H27" s="33">
        <v>1500</v>
      </c>
      <c r="I27" s="33">
        <v>4460</v>
      </c>
      <c r="J27" s="33">
        <f t="shared" si="4"/>
        <v>5960</v>
      </c>
      <c r="K27" s="232">
        <v>176785</v>
      </c>
      <c r="L27" s="367">
        <v>5200</v>
      </c>
      <c r="M27" s="351">
        <v>3651</v>
      </c>
      <c r="N27" s="33">
        <f t="shared" si="5"/>
        <v>185636</v>
      </c>
      <c r="O27" s="232">
        <v>176785</v>
      </c>
      <c r="P27" s="348">
        <v>5076</v>
      </c>
      <c r="Q27" s="351">
        <v>4105</v>
      </c>
      <c r="R27" s="33">
        <f t="shared" si="6"/>
        <v>9181</v>
      </c>
      <c r="S27" s="33">
        <f t="shared" si="7"/>
        <v>0</v>
      </c>
      <c r="T27" s="33">
        <f t="shared" si="8"/>
        <v>-124</v>
      </c>
      <c r="U27" s="33">
        <f t="shared" si="9"/>
        <v>454</v>
      </c>
      <c r="V27" s="33">
        <f t="shared" si="10"/>
        <v>330</v>
      </c>
      <c r="W27" s="33">
        <f t="shared" si="0"/>
        <v>0</v>
      </c>
      <c r="X27" s="33">
        <f t="shared" si="1"/>
        <v>-972</v>
      </c>
      <c r="Y27" s="33">
        <f t="shared" si="2"/>
        <v>879</v>
      </c>
      <c r="Z27" s="33">
        <f t="shared" si="11"/>
        <v>-93</v>
      </c>
      <c r="AB27" s="331"/>
      <c r="AC27" s="136"/>
      <c r="AD27" s="332"/>
    </row>
    <row r="28" spans="1:30" ht="21" customHeight="1">
      <c r="A28" s="61">
        <v>21</v>
      </c>
      <c r="B28" s="46" t="s">
        <v>72</v>
      </c>
      <c r="C28" s="34">
        <v>30947</v>
      </c>
      <c r="D28" s="348">
        <v>2363</v>
      </c>
      <c r="E28" s="349">
        <v>718</v>
      </c>
      <c r="F28" s="34">
        <f t="shared" si="3"/>
        <v>3081</v>
      </c>
      <c r="G28" s="34">
        <v>47585</v>
      </c>
      <c r="H28" s="34">
        <v>435</v>
      </c>
      <c r="I28" s="34">
        <v>2400</v>
      </c>
      <c r="J28" s="34">
        <f t="shared" si="4"/>
        <v>2835</v>
      </c>
      <c r="K28" s="233">
        <v>30947</v>
      </c>
      <c r="L28" s="367">
        <v>2424</v>
      </c>
      <c r="M28" s="349">
        <v>790</v>
      </c>
      <c r="N28" s="34">
        <f t="shared" si="5"/>
        <v>34161</v>
      </c>
      <c r="O28" s="233">
        <v>30947</v>
      </c>
      <c r="P28" s="348">
        <v>905</v>
      </c>
      <c r="Q28" s="349">
        <v>879</v>
      </c>
      <c r="R28" s="34">
        <f t="shared" si="6"/>
        <v>1784</v>
      </c>
      <c r="S28" s="34">
        <f t="shared" si="7"/>
        <v>0</v>
      </c>
      <c r="T28" s="34">
        <f t="shared" si="8"/>
        <v>-1519</v>
      </c>
      <c r="U28" s="34">
        <f t="shared" si="9"/>
        <v>89</v>
      </c>
      <c r="V28" s="34">
        <f t="shared" si="10"/>
        <v>-1430</v>
      </c>
      <c r="W28" s="34">
        <f t="shared" si="0"/>
        <v>0</v>
      </c>
      <c r="X28" s="34">
        <f t="shared" si="1"/>
        <v>-1458</v>
      </c>
      <c r="Y28" s="34">
        <f t="shared" si="2"/>
        <v>161</v>
      </c>
      <c r="Z28" s="34">
        <f t="shared" si="11"/>
        <v>-1297</v>
      </c>
      <c r="AB28" s="332"/>
      <c r="AC28" s="136"/>
      <c r="AD28" s="136"/>
    </row>
    <row r="29" spans="1:26" ht="21" customHeight="1">
      <c r="A29" s="59">
        <v>22</v>
      </c>
      <c r="B29" s="44" t="s">
        <v>7</v>
      </c>
      <c r="C29" s="35">
        <v>276317</v>
      </c>
      <c r="D29" s="348">
        <v>3467</v>
      </c>
      <c r="E29" s="340">
        <v>2456</v>
      </c>
      <c r="F29" s="35">
        <f t="shared" si="3"/>
        <v>5923</v>
      </c>
      <c r="G29" s="35">
        <v>284735</v>
      </c>
      <c r="H29" s="35">
        <v>4135</v>
      </c>
      <c r="I29" s="35">
        <v>15360</v>
      </c>
      <c r="J29" s="35">
        <f t="shared" si="4"/>
        <v>19495</v>
      </c>
      <c r="K29" s="231">
        <v>276317</v>
      </c>
      <c r="L29" s="367">
        <v>3481</v>
      </c>
      <c r="M29" s="340">
        <v>2672</v>
      </c>
      <c r="N29" s="35">
        <f t="shared" si="5"/>
        <v>282470</v>
      </c>
      <c r="O29" s="231">
        <v>276317</v>
      </c>
      <c r="P29" s="348">
        <v>3505</v>
      </c>
      <c r="Q29" s="340">
        <v>2939</v>
      </c>
      <c r="R29" s="35">
        <f t="shared" si="6"/>
        <v>6444</v>
      </c>
      <c r="S29" s="35">
        <f t="shared" si="7"/>
        <v>0</v>
      </c>
      <c r="T29" s="35">
        <f t="shared" si="8"/>
        <v>24</v>
      </c>
      <c r="U29" s="35">
        <f t="shared" si="9"/>
        <v>267</v>
      </c>
      <c r="V29" s="35">
        <f t="shared" si="10"/>
        <v>291</v>
      </c>
      <c r="W29" s="35">
        <f t="shared" si="0"/>
        <v>0</v>
      </c>
      <c r="X29" s="35">
        <f t="shared" si="1"/>
        <v>38</v>
      </c>
      <c r="Y29" s="35">
        <f t="shared" si="2"/>
        <v>483</v>
      </c>
      <c r="Z29" s="35">
        <f t="shared" si="11"/>
        <v>521</v>
      </c>
    </row>
    <row r="30" spans="1:26" ht="21" customHeight="1">
      <c r="A30" s="60">
        <v>23</v>
      </c>
      <c r="B30" s="45" t="s">
        <v>8</v>
      </c>
      <c r="C30" s="33">
        <v>101992</v>
      </c>
      <c r="D30" s="348">
        <v>1189</v>
      </c>
      <c r="E30" s="343">
        <v>2644</v>
      </c>
      <c r="F30" s="33">
        <f t="shared" si="3"/>
        <v>3833</v>
      </c>
      <c r="G30" s="33">
        <v>108035</v>
      </c>
      <c r="H30" s="33">
        <v>950</v>
      </c>
      <c r="I30" s="33">
        <v>4700</v>
      </c>
      <c r="J30" s="33">
        <f t="shared" si="4"/>
        <v>5650</v>
      </c>
      <c r="K30" s="232">
        <v>101992</v>
      </c>
      <c r="L30" s="367">
        <v>3197</v>
      </c>
      <c r="M30" s="343">
        <v>2862</v>
      </c>
      <c r="N30" s="33">
        <f t="shared" si="5"/>
        <v>108051</v>
      </c>
      <c r="O30" s="232">
        <v>101992</v>
      </c>
      <c r="P30" s="348">
        <v>1126</v>
      </c>
      <c r="Q30" s="343">
        <v>3025</v>
      </c>
      <c r="R30" s="33">
        <f t="shared" si="6"/>
        <v>4151</v>
      </c>
      <c r="S30" s="33">
        <f t="shared" si="7"/>
        <v>0</v>
      </c>
      <c r="T30" s="33">
        <f t="shared" si="8"/>
        <v>-2071</v>
      </c>
      <c r="U30" s="33">
        <f t="shared" si="9"/>
        <v>163</v>
      </c>
      <c r="V30" s="33">
        <f t="shared" si="10"/>
        <v>-1908</v>
      </c>
      <c r="W30" s="33">
        <f t="shared" si="0"/>
        <v>0</v>
      </c>
      <c r="X30" s="33">
        <f t="shared" si="1"/>
        <v>-63</v>
      </c>
      <c r="Y30" s="33">
        <f t="shared" si="2"/>
        <v>381</v>
      </c>
      <c r="Z30" s="33">
        <f t="shared" si="11"/>
        <v>318</v>
      </c>
    </row>
    <row r="31" spans="1:26" ht="21" customHeight="1">
      <c r="A31" s="61">
        <v>24</v>
      </c>
      <c r="B31" s="46" t="s">
        <v>40</v>
      </c>
      <c r="C31" s="34">
        <v>64833</v>
      </c>
      <c r="D31" s="348">
        <v>8483</v>
      </c>
      <c r="E31" s="349">
        <v>216</v>
      </c>
      <c r="F31" s="34">
        <f t="shared" si="3"/>
        <v>8699</v>
      </c>
      <c r="G31" s="34">
        <v>149420</v>
      </c>
      <c r="H31" s="34">
        <v>2625</v>
      </c>
      <c r="I31" s="34">
        <v>4540</v>
      </c>
      <c r="J31" s="34">
        <f t="shared" si="4"/>
        <v>7165</v>
      </c>
      <c r="K31" s="233">
        <v>64833</v>
      </c>
      <c r="L31" s="367">
        <v>8581</v>
      </c>
      <c r="M31" s="349">
        <v>216</v>
      </c>
      <c r="N31" s="34">
        <f t="shared" si="5"/>
        <v>73630</v>
      </c>
      <c r="O31" s="233">
        <v>64833</v>
      </c>
      <c r="P31" s="348">
        <v>8679</v>
      </c>
      <c r="Q31" s="349">
        <v>216</v>
      </c>
      <c r="R31" s="34">
        <f t="shared" si="6"/>
        <v>8895</v>
      </c>
      <c r="S31" s="34">
        <f t="shared" si="7"/>
        <v>0</v>
      </c>
      <c r="T31" s="34">
        <f t="shared" si="8"/>
        <v>98</v>
      </c>
      <c r="U31" s="34">
        <f t="shared" si="9"/>
        <v>0</v>
      </c>
      <c r="V31" s="34">
        <f t="shared" si="10"/>
        <v>98</v>
      </c>
      <c r="W31" s="34">
        <f t="shared" si="0"/>
        <v>0</v>
      </c>
      <c r="X31" s="34">
        <f t="shared" si="1"/>
        <v>196</v>
      </c>
      <c r="Y31" s="34">
        <f t="shared" si="2"/>
        <v>0</v>
      </c>
      <c r="Z31" s="34">
        <f t="shared" si="11"/>
        <v>196</v>
      </c>
    </row>
    <row r="32" spans="1:26" ht="21" customHeight="1">
      <c r="A32" s="59">
        <v>25</v>
      </c>
      <c r="B32" s="44" t="s">
        <v>9</v>
      </c>
      <c r="C32" s="35">
        <v>29548</v>
      </c>
      <c r="D32" s="348">
        <v>6571</v>
      </c>
      <c r="E32" s="340">
        <v>8</v>
      </c>
      <c r="F32" s="35">
        <f t="shared" si="3"/>
        <v>6579</v>
      </c>
      <c r="G32" s="35">
        <v>93310</v>
      </c>
      <c r="H32" s="35">
        <v>1878</v>
      </c>
      <c r="I32" s="35">
        <v>0</v>
      </c>
      <c r="J32" s="35">
        <f t="shared" si="4"/>
        <v>1878</v>
      </c>
      <c r="K32" s="231">
        <v>29548</v>
      </c>
      <c r="L32" s="367">
        <v>6731</v>
      </c>
      <c r="M32" s="340">
        <v>8</v>
      </c>
      <c r="N32" s="35">
        <f t="shared" si="5"/>
        <v>36287</v>
      </c>
      <c r="O32" s="231">
        <v>29548</v>
      </c>
      <c r="P32" s="348">
        <v>6826</v>
      </c>
      <c r="Q32" s="340">
        <v>8</v>
      </c>
      <c r="R32" s="35">
        <f t="shared" si="6"/>
        <v>6834</v>
      </c>
      <c r="S32" s="35">
        <f t="shared" si="7"/>
        <v>0</v>
      </c>
      <c r="T32" s="35">
        <f t="shared" si="8"/>
        <v>95</v>
      </c>
      <c r="U32" s="35">
        <f t="shared" si="9"/>
        <v>0</v>
      </c>
      <c r="V32" s="35">
        <f t="shared" si="10"/>
        <v>95</v>
      </c>
      <c r="W32" s="35">
        <f t="shared" si="0"/>
        <v>0</v>
      </c>
      <c r="X32" s="35">
        <f t="shared" si="1"/>
        <v>255</v>
      </c>
      <c r="Y32" s="35">
        <f t="shared" si="2"/>
        <v>0</v>
      </c>
      <c r="Z32" s="35">
        <f t="shared" si="11"/>
        <v>255</v>
      </c>
    </row>
    <row r="33" spans="1:26" ht="21" customHeight="1">
      <c r="A33" s="61">
        <v>26</v>
      </c>
      <c r="B33" s="46" t="s">
        <v>10</v>
      </c>
      <c r="C33" s="33">
        <v>111527</v>
      </c>
      <c r="D33" s="348">
        <v>2638</v>
      </c>
      <c r="E33" s="349">
        <v>160</v>
      </c>
      <c r="F33" s="33">
        <f t="shared" si="3"/>
        <v>2798</v>
      </c>
      <c r="G33" s="33">
        <v>34410</v>
      </c>
      <c r="H33" s="33">
        <v>1400</v>
      </c>
      <c r="I33" s="33">
        <v>320</v>
      </c>
      <c r="J33" s="33">
        <f t="shared" si="4"/>
        <v>1720</v>
      </c>
      <c r="K33" s="232">
        <v>111527</v>
      </c>
      <c r="L33" s="367">
        <v>2613</v>
      </c>
      <c r="M33" s="349">
        <v>273</v>
      </c>
      <c r="N33" s="33">
        <f t="shared" si="5"/>
        <v>114413</v>
      </c>
      <c r="O33" s="232">
        <v>111527</v>
      </c>
      <c r="P33" s="348">
        <v>2637</v>
      </c>
      <c r="Q33" s="349">
        <v>352</v>
      </c>
      <c r="R33" s="33">
        <f t="shared" si="6"/>
        <v>2989</v>
      </c>
      <c r="S33" s="33">
        <f t="shared" si="7"/>
        <v>0</v>
      </c>
      <c r="T33" s="33">
        <f t="shared" si="8"/>
        <v>24</v>
      </c>
      <c r="U33" s="33">
        <f t="shared" si="9"/>
        <v>79</v>
      </c>
      <c r="V33" s="33">
        <f t="shared" si="10"/>
        <v>103</v>
      </c>
      <c r="W33" s="33">
        <f t="shared" si="0"/>
        <v>0</v>
      </c>
      <c r="X33" s="33">
        <f t="shared" si="1"/>
        <v>-1</v>
      </c>
      <c r="Y33" s="33">
        <f t="shared" si="2"/>
        <v>192</v>
      </c>
      <c r="Z33" s="33">
        <f t="shared" si="11"/>
        <v>191</v>
      </c>
    </row>
    <row r="34" spans="1:26" s="127" customFormat="1" ht="21" customHeight="1">
      <c r="A34" s="137"/>
      <c r="B34" s="137" t="s">
        <v>11</v>
      </c>
      <c r="C34" s="138">
        <f aca="true" t="shared" si="12" ref="C34:Z34">SUM(C8:C33)</f>
        <v>2460432</v>
      </c>
      <c r="D34" s="138">
        <f t="shared" si="12"/>
        <v>108388</v>
      </c>
      <c r="E34" s="138">
        <f t="shared" si="12"/>
        <v>36110</v>
      </c>
      <c r="F34" s="138">
        <f t="shared" si="12"/>
        <v>144498</v>
      </c>
      <c r="G34" s="138">
        <f t="shared" si="12"/>
        <v>3100000</v>
      </c>
      <c r="H34" s="138">
        <f t="shared" si="12"/>
        <v>50000</v>
      </c>
      <c r="I34" s="138">
        <f t="shared" si="12"/>
        <v>218620</v>
      </c>
      <c r="J34" s="138">
        <f t="shared" si="12"/>
        <v>268620</v>
      </c>
      <c r="K34" s="138">
        <f t="shared" si="12"/>
        <v>2460432</v>
      </c>
      <c r="L34" s="138">
        <f t="shared" si="12"/>
        <v>108744</v>
      </c>
      <c r="M34" s="138">
        <f t="shared" si="12"/>
        <v>41813</v>
      </c>
      <c r="N34" s="138">
        <f t="shared" si="12"/>
        <v>2610989</v>
      </c>
      <c r="O34" s="138">
        <f t="shared" si="12"/>
        <v>2460432</v>
      </c>
      <c r="P34" s="138">
        <f t="shared" si="12"/>
        <v>106407</v>
      </c>
      <c r="Q34" s="138">
        <f t="shared" si="12"/>
        <v>43530</v>
      </c>
      <c r="R34" s="138">
        <f t="shared" si="12"/>
        <v>149937</v>
      </c>
      <c r="S34" s="138">
        <f t="shared" si="12"/>
        <v>0</v>
      </c>
      <c r="T34" s="138">
        <f t="shared" si="12"/>
        <v>-2337</v>
      </c>
      <c r="U34" s="138">
        <f t="shared" si="12"/>
        <v>1717</v>
      </c>
      <c r="V34" s="138">
        <f t="shared" si="12"/>
        <v>-620</v>
      </c>
      <c r="W34" s="138">
        <f t="shared" si="12"/>
        <v>0</v>
      </c>
      <c r="X34" s="138">
        <f t="shared" si="12"/>
        <v>-1981</v>
      </c>
      <c r="Y34" s="138">
        <f t="shared" si="12"/>
        <v>7420</v>
      </c>
      <c r="Z34" s="138">
        <f t="shared" si="12"/>
        <v>5439</v>
      </c>
    </row>
    <row r="35" spans="1:26" s="127" customFormat="1" ht="21" customHeight="1">
      <c r="A35" s="423" t="s">
        <v>148</v>
      </c>
      <c r="B35" s="423"/>
      <c r="C35" s="295">
        <f aca="true" t="shared" si="13" ref="C35:Z35">C34/1000000</f>
        <v>2.460432</v>
      </c>
      <c r="D35" s="184">
        <f t="shared" si="13"/>
        <v>0.108388</v>
      </c>
      <c r="E35" s="184">
        <f t="shared" si="13"/>
        <v>0.03611</v>
      </c>
      <c r="F35" s="184">
        <f t="shared" si="13"/>
        <v>0.144498</v>
      </c>
      <c r="G35" s="184">
        <f t="shared" si="13"/>
        <v>3.1</v>
      </c>
      <c r="H35" s="184">
        <f t="shared" si="13"/>
        <v>0.05</v>
      </c>
      <c r="I35" s="184">
        <f t="shared" si="13"/>
        <v>0.21862</v>
      </c>
      <c r="J35" s="184">
        <f t="shared" si="13"/>
        <v>0.26862</v>
      </c>
      <c r="K35" s="184">
        <f t="shared" si="13"/>
        <v>2.460432</v>
      </c>
      <c r="L35" s="184">
        <f t="shared" si="13"/>
        <v>0.108744</v>
      </c>
      <c r="M35" s="184">
        <f t="shared" si="13"/>
        <v>0.041813</v>
      </c>
      <c r="N35" s="184">
        <f t="shared" si="13"/>
        <v>2.610989</v>
      </c>
      <c r="O35" s="184">
        <f t="shared" si="13"/>
        <v>2.460432</v>
      </c>
      <c r="P35" s="184">
        <f t="shared" si="13"/>
        <v>0.106407</v>
      </c>
      <c r="Q35" s="184">
        <f t="shared" si="13"/>
        <v>0.04353</v>
      </c>
      <c r="R35" s="184">
        <f t="shared" si="13"/>
        <v>0.149937</v>
      </c>
      <c r="S35" s="184">
        <f t="shared" si="13"/>
        <v>0</v>
      </c>
      <c r="T35" s="184">
        <f t="shared" si="13"/>
        <v>-0.002337</v>
      </c>
      <c r="U35" s="184">
        <f t="shared" si="13"/>
        <v>0.001717</v>
      </c>
      <c r="V35" s="184">
        <f t="shared" si="13"/>
        <v>-0.00062</v>
      </c>
      <c r="W35" s="184">
        <f t="shared" si="13"/>
        <v>0</v>
      </c>
      <c r="X35" s="184">
        <f t="shared" si="13"/>
        <v>-0.001981</v>
      </c>
      <c r="Y35" s="184">
        <f t="shared" si="13"/>
        <v>0.00742</v>
      </c>
      <c r="Z35" s="184">
        <f t="shared" si="13"/>
        <v>0.005439</v>
      </c>
    </row>
    <row r="36" spans="1:26" s="127" customFormat="1" ht="18" customHeight="1">
      <c r="A36" s="139"/>
      <c r="B36" s="130" t="s">
        <v>110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2" customHeight="1">
      <c r="A37" s="141"/>
      <c r="B37" s="130" t="s">
        <v>173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spans="1:29" ht="18" customHeight="1">
      <c r="A38" s="141"/>
      <c r="B38" s="143" t="s">
        <v>30</v>
      </c>
      <c r="C38" s="166"/>
      <c r="D38" s="166"/>
      <c r="E38" s="166"/>
      <c r="F38" s="166"/>
      <c r="G38" s="166"/>
      <c r="H38" s="166"/>
      <c r="I38" s="166"/>
      <c r="J38"/>
      <c r="K38"/>
      <c r="L38"/>
      <c r="M38"/>
      <c r="N38"/>
      <c r="O38"/>
      <c r="P38"/>
      <c r="Q38"/>
      <c r="R38" s="166"/>
      <c r="S38" s="166"/>
      <c r="T38" s="166"/>
      <c r="U38" s="166"/>
      <c r="V38" s="166"/>
      <c r="W38" s="166"/>
      <c r="X38" s="365"/>
      <c r="Y38" s="166"/>
      <c r="Z38" s="166"/>
      <c r="AA38"/>
      <c r="AB38"/>
      <c r="AC38"/>
    </row>
    <row r="39" spans="1:29" ht="17.25" customHeight="1">
      <c r="A39" s="141"/>
      <c r="B39" s="143" t="s">
        <v>15</v>
      </c>
      <c r="C39" s="147"/>
      <c r="D39" s="147"/>
      <c r="E39" s="147"/>
      <c r="F39" s="147"/>
      <c r="G39" s="147"/>
      <c r="H39" s="147"/>
      <c r="I39" s="147"/>
      <c r="J39"/>
      <c r="K39"/>
      <c r="L39"/>
      <c r="M39"/>
      <c r="N39"/>
      <c r="O39"/>
      <c r="Q39"/>
      <c r="R39" s="281"/>
      <c r="S39" s="147"/>
      <c r="T39" s="147"/>
      <c r="U39" s="147"/>
      <c r="V39" s="147"/>
      <c r="W39" s="147"/>
      <c r="X39" s="147"/>
      <c r="Y39" s="147"/>
      <c r="Z39" s="147"/>
      <c r="AA39"/>
      <c r="AB39"/>
      <c r="AC39"/>
    </row>
    <row r="40" spans="1:29" ht="18" customHeight="1">
      <c r="A40" s="141"/>
      <c r="B40" s="148" t="s">
        <v>58</v>
      </c>
      <c r="C40" s="147"/>
      <c r="D40" s="147"/>
      <c r="E40" s="147"/>
      <c r="F40" s="147"/>
      <c r="G40" s="147"/>
      <c r="H40" s="147"/>
      <c r="I40" s="147"/>
      <c r="J40"/>
      <c r="K40"/>
      <c r="L40"/>
      <c r="M40"/>
      <c r="N40"/>
      <c r="O40"/>
      <c r="Q40"/>
      <c r="R40" s="147"/>
      <c r="S40" s="147"/>
      <c r="T40" s="147"/>
      <c r="U40" s="147"/>
      <c r="V40" s="147"/>
      <c r="W40" s="147"/>
      <c r="X40" s="147"/>
      <c r="Y40" s="147"/>
      <c r="Z40" s="147"/>
      <c r="AA40"/>
      <c r="AB40"/>
      <c r="AC40"/>
    </row>
    <row r="41" spans="1:29" ht="18" customHeight="1">
      <c r="A41" s="141"/>
      <c r="B41" s="148"/>
      <c r="C41" s="147"/>
      <c r="D41" s="147"/>
      <c r="E41" s="147"/>
      <c r="F41" s="147"/>
      <c r="G41" s="147"/>
      <c r="H41" s="147"/>
      <c r="I41" s="147"/>
      <c r="J41"/>
      <c r="K41"/>
      <c r="L41"/>
      <c r="M41"/>
      <c r="N41"/>
      <c r="O41"/>
      <c r="P41"/>
      <c r="Q41"/>
      <c r="R41" s="147"/>
      <c r="S41" s="147"/>
      <c r="T41" s="147"/>
      <c r="U41" s="147"/>
      <c r="V41" s="147"/>
      <c r="W41" s="147"/>
      <c r="X41" s="147"/>
      <c r="Y41" s="147"/>
      <c r="Z41" s="147"/>
      <c r="AA41"/>
      <c r="AB41"/>
      <c r="AC41"/>
    </row>
    <row r="42" spans="1:29" ht="18" customHeight="1">
      <c r="A42" s="141"/>
      <c r="B42" s="143"/>
      <c r="C42" s="147"/>
      <c r="D42" s="147"/>
      <c r="E42" s="147"/>
      <c r="F42" s="147"/>
      <c r="G42" s="147"/>
      <c r="H42" s="147"/>
      <c r="I42" s="147"/>
      <c r="J42"/>
      <c r="K42"/>
      <c r="L42"/>
      <c r="M42"/>
      <c r="N42"/>
      <c r="O42"/>
      <c r="P42"/>
      <c r="Q42"/>
      <c r="R42" s="147"/>
      <c r="S42" s="147"/>
      <c r="T42" s="147"/>
      <c r="U42" s="147"/>
      <c r="V42" s="147"/>
      <c r="W42" s="147"/>
      <c r="X42" s="147"/>
      <c r="Y42" s="147"/>
      <c r="Z42" s="147"/>
      <c r="AA42"/>
      <c r="AB42"/>
      <c r="AC42"/>
    </row>
    <row r="43" spans="1:29" ht="18" customHeight="1">
      <c r="A43" s="141"/>
      <c r="B43" s="132"/>
      <c r="J43"/>
      <c r="K43"/>
      <c r="L43"/>
      <c r="M43"/>
      <c r="N43"/>
      <c r="O43"/>
      <c r="P43"/>
      <c r="Q43"/>
      <c r="AA43"/>
      <c r="AB43"/>
      <c r="AC43"/>
    </row>
    <row r="44" spans="1:29" ht="19.5" customHeight="1">
      <c r="A44" s="132"/>
      <c r="B44" s="132"/>
      <c r="J44"/>
      <c r="K44"/>
      <c r="L44"/>
      <c r="M44"/>
      <c r="N44"/>
      <c r="O44"/>
      <c r="P44"/>
      <c r="Q44"/>
      <c r="AA44"/>
      <c r="AB44"/>
      <c r="AC44"/>
    </row>
    <row r="45" spans="1:29" ht="15.75">
      <c r="A45" s="132"/>
      <c r="B45" s="126"/>
      <c r="C45" s="150"/>
      <c r="D45" s="150"/>
      <c r="E45" s="150"/>
      <c r="F45" s="150"/>
      <c r="G45" s="150"/>
      <c r="H45" s="150"/>
      <c r="I45" s="150"/>
      <c r="J45"/>
      <c r="K45"/>
      <c r="L45"/>
      <c r="M45"/>
      <c r="N45"/>
      <c r="O45"/>
      <c r="P45"/>
      <c r="Q45"/>
      <c r="R45" s="150"/>
      <c r="S45" s="150"/>
      <c r="T45" s="150"/>
      <c r="U45" s="150"/>
      <c r="V45" s="150"/>
      <c r="W45" s="150"/>
      <c r="X45" s="150"/>
      <c r="Y45" s="150"/>
      <c r="Z45" s="150"/>
      <c r="AA45"/>
      <c r="AB45"/>
      <c r="AC45"/>
    </row>
    <row r="46" spans="1:29" ht="15.75">
      <c r="A46" s="132"/>
      <c r="B46" s="126"/>
      <c r="C46" s="126"/>
      <c r="D46" s="126"/>
      <c r="E46" s="126"/>
      <c r="F46" s="126"/>
      <c r="G46" s="126"/>
      <c r="H46" s="126"/>
      <c r="I46" s="126"/>
      <c r="J46"/>
      <c r="K46"/>
      <c r="L46"/>
      <c r="M46"/>
      <c r="N46"/>
      <c r="O46"/>
      <c r="P46"/>
      <c r="Q46"/>
      <c r="R46" s="126"/>
      <c r="S46" s="126"/>
      <c r="T46" s="126"/>
      <c r="U46" s="126"/>
      <c r="V46" s="126"/>
      <c r="W46" s="126"/>
      <c r="X46" s="126"/>
      <c r="Y46" s="126"/>
      <c r="Z46" s="126"/>
      <c r="AA46"/>
      <c r="AB46"/>
      <c r="AC46"/>
    </row>
    <row r="47" spans="1:29" ht="15.75">
      <c r="A47" s="132"/>
      <c r="B47" s="126"/>
      <c r="C47" s="126"/>
      <c r="D47" s="126"/>
      <c r="E47" s="126"/>
      <c r="F47" s="126"/>
      <c r="G47" s="126"/>
      <c r="H47" s="126"/>
      <c r="I47" s="126"/>
      <c r="J47"/>
      <c r="K47"/>
      <c r="L47"/>
      <c r="M47"/>
      <c r="N47"/>
      <c r="O47"/>
      <c r="P47"/>
      <c r="Q47"/>
      <c r="R47" s="126"/>
      <c r="S47" s="126"/>
      <c r="T47" s="126"/>
      <c r="U47" s="126"/>
      <c r="V47" s="126"/>
      <c r="W47" s="126"/>
      <c r="X47" s="126"/>
      <c r="Y47" s="126"/>
      <c r="Z47" s="126"/>
      <c r="AA47"/>
      <c r="AB47"/>
      <c r="AC47"/>
    </row>
    <row r="48" spans="1:29" ht="15.75">
      <c r="A48" s="126"/>
      <c r="C48" s="126"/>
      <c r="D48" s="126"/>
      <c r="E48" s="126"/>
      <c r="F48" s="126"/>
      <c r="G48" s="126"/>
      <c r="H48" s="126"/>
      <c r="I48" s="126"/>
      <c r="J48"/>
      <c r="K48"/>
      <c r="L48"/>
      <c r="M48"/>
      <c r="N48"/>
      <c r="O48"/>
      <c r="P48"/>
      <c r="Q48"/>
      <c r="R48" s="126"/>
      <c r="S48" s="126"/>
      <c r="T48" s="126"/>
      <c r="U48" s="126"/>
      <c r="V48" s="126"/>
      <c r="W48" s="126"/>
      <c r="X48" s="126"/>
      <c r="Y48" s="126"/>
      <c r="Z48" s="126"/>
      <c r="AA48"/>
      <c r="AB48"/>
      <c r="AC48"/>
    </row>
    <row r="49" spans="10:29" ht="15" customHeight="1">
      <c r="J49"/>
      <c r="K49"/>
      <c r="L49"/>
      <c r="M49"/>
      <c r="N49"/>
      <c r="O49"/>
      <c r="P49"/>
      <c r="Q49"/>
      <c r="AA49"/>
      <c r="AB49"/>
      <c r="AC49"/>
    </row>
    <row r="50" spans="10:29" ht="15" customHeight="1">
      <c r="J50"/>
      <c r="K50"/>
      <c r="L50"/>
      <c r="M50"/>
      <c r="N50"/>
      <c r="O50"/>
      <c r="P50"/>
      <c r="Q50"/>
      <c r="AA50"/>
      <c r="AB50"/>
      <c r="AC50"/>
    </row>
    <row r="51" spans="10:29" ht="15" customHeight="1">
      <c r="J51"/>
      <c r="K51"/>
      <c r="L51"/>
      <c r="M51"/>
      <c r="N51"/>
      <c r="O51"/>
      <c r="P51"/>
      <c r="Q51"/>
      <c r="AA51"/>
      <c r="AB51"/>
      <c r="AC51"/>
    </row>
    <row r="52" spans="10:29" ht="15" customHeight="1">
      <c r="J52"/>
      <c r="K52"/>
      <c r="L52"/>
      <c r="M52"/>
      <c r="N52"/>
      <c r="O52"/>
      <c r="P52"/>
      <c r="Q52"/>
      <c r="AA52"/>
      <c r="AB52"/>
      <c r="AC52"/>
    </row>
    <row r="53" spans="2:29" ht="15" customHeight="1">
      <c r="B53" s="154"/>
      <c r="J53"/>
      <c r="K53"/>
      <c r="L53"/>
      <c r="M53"/>
      <c r="N53"/>
      <c r="O53"/>
      <c r="P53"/>
      <c r="Q53"/>
      <c r="AA53"/>
      <c r="AB53"/>
      <c r="AC53"/>
    </row>
    <row r="54" spans="2:29" ht="18">
      <c r="B54" s="154"/>
      <c r="C54" s="154"/>
      <c r="D54" s="154"/>
      <c r="E54" s="154"/>
      <c r="F54" s="154"/>
      <c r="G54" s="154"/>
      <c r="H54" s="154"/>
      <c r="I54" s="154"/>
      <c r="J54"/>
      <c r="K54"/>
      <c r="L54"/>
      <c r="M54"/>
      <c r="N54"/>
      <c r="O54"/>
      <c r="P54"/>
      <c r="Q54"/>
      <c r="R54" s="154"/>
      <c r="S54" s="154"/>
      <c r="T54" s="154"/>
      <c r="U54" s="154"/>
      <c r="V54" s="154"/>
      <c r="W54" s="154"/>
      <c r="X54" s="154"/>
      <c r="Y54" s="154"/>
      <c r="Z54" s="154"/>
      <c r="AA54"/>
      <c r="AB54"/>
      <c r="AC54"/>
    </row>
    <row r="55" spans="2:29" ht="18">
      <c r="B55" s="154"/>
      <c r="C55" s="154"/>
      <c r="D55" s="154"/>
      <c r="E55" s="154"/>
      <c r="F55" s="154"/>
      <c r="G55" s="154"/>
      <c r="H55" s="154"/>
      <c r="I55" s="154"/>
      <c r="J55"/>
      <c r="K55"/>
      <c r="L55"/>
      <c r="M55"/>
      <c r="N55"/>
      <c r="O55"/>
      <c r="P55"/>
      <c r="Q55"/>
      <c r="R55" s="154"/>
      <c r="S55" s="154"/>
      <c r="T55" s="154"/>
      <c r="U55" s="154"/>
      <c r="V55" s="154"/>
      <c r="W55" s="154"/>
      <c r="X55" s="154"/>
      <c r="Y55" s="154"/>
      <c r="Z55" s="154"/>
      <c r="AA55"/>
      <c r="AB55"/>
      <c r="AC55"/>
    </row>
    <row r="56" spans="2:29" ht="18">
      <c r="B56" s="154"/>
      <c r="C56" s="154"/>
      <c r="D56" s="154"/>
      <c r="E56" s="154"/>
      <c r="F56" s="154"/>
      <c r="G56" s="154"/>
      <c r="H56" s="154"/>
      <c r="I56" s="154"/>
      <c r="J56"/>
      <c r="K56"/>
      <c r="L56"/>
      <c r="M56"/>
      <c r="N56"/>
      <c r="O56"/>
      <c r="P56"/>
      <c r="Q56"/>
      <c r="R56" s="154"/>
      <c r="S56" s="154"/>
      <c r="T56" s="154"/>
      <c r="U56" s="154"/>
      <c r="V56" s="154"/>
      <c r="W56" s="154"/>
      <c r="X56" s="154"/>
      <c r="Y56" s="154"/>
      <c r="Z56" s="154"/>
      <c r="AA56"/>
      <c r="AB56"/>
      <c r="AC56"/>
    </row>
    <row r="57" spans="2:29" ht="18">
      <c r="B57" s="154"/>
      <c r="C57" s="154"/>
      <c r="D57" s="154"/>
      <c r="E57" s="154"/>
      <c r="F57" s="154"/>
      <c r="G57" s="154"/>
      <c r="H57" s="154"/>
      <c r="I57" s="154"/>
      <c r="J57"/>
      <c r="K57"/>
      <c r="L57"/>
      <c r="M57"/>
      <c r="N57"/>
      <c r="O57"/>
      <c r="P57"/>
      <c r="Q57"/>
      <c r="R57" s="154"/>
      <c r="S57" s="154"/>
      <c r="T57" s="154"/>
      <c r="U57" s="154"/>
      <c r="V57" s="154"/>
      <c r="W57" s="154"/>
      <c r="X57" s="154"/>
      <c r="Y57" s="154"/>
      <c r="Z57" s="154"/>
      <c r="AA57"/>
      <c r="AB57"/>
      <c r="AC57"/>
    </row>
    <row r="58" spans="2:29" ht="18">
      <c r="B58" s="154"/>
      <c r="C58" s="154"/>
      <c r="D58" s="154"/>
      <c r="E58" s="154"/>
      <c r="F58" s="154"/>
      <c r="G58" s="154"/>
      <c r="H58" s="154"/>
      <c r="I58" s="154"/>
      <c r="J58"/>
      <c r="K58"/>
      <c r="L58"/>
      <c r="M58"/>
      <c r="N58"/>
      <c r="O58"/>
      <c r="P58"/>
      <c r="Q58"/>
      <c r="R58" s="154"/>
      <c r="S58" s="154"/>
      <c r="T58" s="154"/>
      <c r="U58" s="154"/>
      <c r="V58" s="154"/>
      <c r="W58" s="154"/>
      <c r="X58" s="154"/>
      <c r="Y58" s="154"/>
      <c r="Z58" s="154"/>
      <c r="AA58"/>
      <c r="AB58"/>
      <c r="AC58"/>
    </row>
    <row r="59" spans="2:29" ht="18">
      <c r="B59" s="154"/>
      <c r="C59" s="154"/>
      <c r="D59" s="154"/>
      <c r="E59" s="154"/>
      <c r="F59" s="154"/>
      <c r="G59" s="154"/>
      <c r="H59" s="154"/>
      <c r="I59" s="154"/>
      <c r="J59"/>
      <c r="K59"/>
      <c r="L59"/>
      <c r="M59"/>
      <c r="N59"/>
      <c r="O59"/>
      <c r="P59"/>
      <c r="Q59"/>
      <c r="R59" s="154"/>
      <c r="S59" s="154"/>
      <c r="T59" s="154"/>
      <c r="U59" s="154"/>
      <c r="V59" s="154"/>
      <c r="W59" s="154"/>
      <c r="X59" s="154"/>
      <c r="Y59" s="154"/>
      <c r="Z59" s="154"/>
      <c r="AA59"/>
      <c r="AB59"/>
      <c r="AC59"/>
    </row>
    <row r="60" spans="3:29" ht="18">
      <c r="C60" s="154"/>
      <c r="D60" s="154"/>
      <c r="E60" s="154"/>
      <c r="F60" s="154"/>
      <c r="G60" s="154"/>
      <c r="H60" s="154"/>
      <c r="I60" s="154"/>
      <c r="J60"/>
      <c r="K60"/>
      <c r="L60"/>
      <c r="M60"/>
      <c r="N60"/>
      <c r="O60"/>
      <c r="P60"/>
      <c r="Q60"/>
      <c r="R60" s="154"/>
      <c r="S60" s="154"/>
      <c r="T60" s="154"/>
      <c r="U60" s="154"/>
      <c r="V60" s="154"/>
      <c r="W60" s="154"/>
      <c r="X60" s="154"/>
      <c r="Y60" s="154"/>
      <c r="Z60" s="154"/>
      <c r="AA60"/>
      <c r="AB60"/>
      <c r="AC60"/>
    </row>
    <row r="61" spans="10:29" ht="15">
      <c r="J61"/>
      <c r="K61"/>
      <c r="L61"/>
      <c r="M61"/>
      <c r="N61"/>
      <c r="O61"/>
      <c r="P61"/>
      <c r="Q61"/>
      <c r="AA61"/>
      <c r="AB61"/>
      <c r="AC61"/>
    </row>
    <row r="62" spans="10:29" ht="15">
      <c r="J62"/>
      <c r="K62"/>
      <c r="L62"/>
      <c r="M62"/>
      <c r="N62"/>
      <c r="O62"/>
      <c r="P62"/>
      <c r="Q62"/>
      <c r="AA62"/>
      <c r="AB62"/>
      <c r="AC62"/>
    </row>
    <row r="63" spans="10:29" ht="15">
      <c r="J63"/>
      <c r="K63"/>
      <c r="L63"/>
      <c r="M63"/>
      <c r="N63"/>
      <c r="O63"/>
      <c r="P63"/>
      <c r="Q63"/>
      <c r="AA63"/>
      <c r="AB63"/>
      <c r="AC63"/>
    </row>
  </sheetData>
  <sheetProtection/>
  <mergeCells count="12">
    <mergeCell ref="A35:B35"/>
    <mergeCell ref="G6:J6"/>
    <mergeCell ref="O6:R6"/>
    <mergeCell ref="S6:V6"/>
    <mergeCell ref="C6:F6"/>
    <mergeCell ref="K6:N6"/>
    <mergeCell ref="C5:R5"/>
    <mergeCell ref="S5:Z5"/>
    <mergeCell ref="A4:A7"/>
    <mergeCell ref="B4:B7"/>
    <mergeCell ref="C4:Z4"/>
    <mergeCell ref="W6:Z6"/>
  </mergeCells>
  <conditionalFormatting sqref="K8:K33">
    <cfRule type="top10" priority="27" dxfId="3" stopIfTrue="1" rank="5" bottom="1"/>
    <cfRule type="top10" priority="28" dxfId="0" stopIfTrue="1" rank="5"/>
  </conditionalFormatting>
  <conditionalFormatting sqref="AB2:AB27">
    <cfRule type="top10" priority="3" dxfId="3" stopIfTrue="1" rank="5" bottom="1"/>
    <cfRule type="top10" priority="4" dxfId="0" stopIfTrue="1" rank="5"/>
  </conditionalFormatting>
  <conditionalFormatting sqref="K8:K33 N8:O33 R8:Z33">
    <cfRule type="top10" priority="94" dxfId="3" stopIfTrue="1" rank="5" bottom="1"/>
    <cfRule type="top10" priority="95" dxfId="0" stopIfTrue="1" rank="5"/>
  </conditionalFormatting>
  <printOptions/>
  <pageMargins left="0.5905511811023623" right="0" top="0.5905511811023623" bottom="0.1968503937007874" header="0.31496062992125984" footer="0.31496062992125984"/>
  <pageSetup horizontalDpi="600" verticalDpi="600" orientation="landscape" paperSize="9" scale="7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B1">
      <selection activeCell="O12" sqref="O12"/>
    </sheetView>
  </sheetViews>
  <sheetFormatPr defaultColWidth="7.8515625" defaultRowHeight="12.75"/>
  <cols>
    <col min="1" max="1" width="4.8515625" style="125" customWidth="1"/>
    <col min="2" max="2" width="14.7109375" style="125" customWidth="1"/>
    <col min="3" max="3" width="11.28125" style="125" customWidth="1"/>
    <col min="4" max="4" width="12.00390625" style="125" bestFit="1" customWidth="1"/>
    <col min="5" max="5" width="9.8515625" style="125" customWidth="1"/>
    <col min="6" max="6" width="12.421875" style="125" customWidth="1"/>
    <col min="7" max="7" width="10.140625" style="125" customWidth="1"/>
    <col min="8" max="8" width="10.57421875" style="125" customWidth="1"/>
    <col min="9" max="9" width="11.00390625" style="125" customWidth="1"/>
    <col min="10" max="11" width="11.7109375" style="125" customWidth="1"/>
    <col min="12" max="12" width="12.28125" style="125" customWidth="1"/>
    <col min="13" max="13" width="10.140625" style="125" customWidth="1"/>
    <col min="14" max="14" width="10.28125" style="125" customWidth="1"/>
    <col min="15" max="15" width="12.57421875" style="125" customWidth="1"/>
    <col min="16" max="16" width="12.28125" style="125" customWidth="1"/>
    <col min="17" max="17" width="14.8515625" style="125" customWidth="1"/>
    <col min="18" max="18" width="15.140625" style="125" customWidth="1"/>
    <col min="19" max="19" width="7.8515625" style="125" customWidth="1"/>
    <col min="20" max="20" width="14.28125" style="125" customWidth="1"/>
    <col min="21" max="21" width="11.421875" style="125" customWidth="1"/>
    <col min="22" max="25" width="7.8515625" style="125" customWidth="1"/>
    <col min="26" max="16384" width="7.8515625" style="125" customWidth="1"/>
  </cols>
  <sheetData>
    <row r="1" spans="2:16" ht="18" customHeight="1"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P1" s="126" t="s">
        <v>133</v>
      </c>
    </row>
    <row r="2" spans="2:13" ht="18" customHeight="1">
      <c r="B2" s="126"/>
      <c r="C2" s="126"/>
      <c r="D2" s="126"/>
      <c r="E2" s="126"/>
      <c r="F2" s="126"/>
      <c r="G2" s="130"/>
      <c r="H2" s="126"/>
      <c r="I2" s="126"/>
      <c r="J2" s="126"/>
      <c r="K2" s="126"/>
      <c r="L2" s="126"/>
      <c r="M2" s="126"/>
    </row>
    <row r="3" spans="1:14" ht="18" customHeight="1">
      <c r="A3" s="128" t="s">
        <v>16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N3" s="1" t="str">
        <f>'May 12 (4&amp;5)'!S2</f>
        <v>No.1-2(1)/2012-CP&amp;M-LTP    </v>
      </c>
    </row>
    <row r="4" spans="1:14" ht="15" customHeight="1">
      <c r="A4" s="130" t="s">
        <v>19</v>
      </c>
      <c r="B4" s="130"/>
      <c r="C4" s="130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7.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2:14" ht="16.5" customHeight="1">
      <c r="B6" s="133" t="s">
        <v>163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9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7" ht="18" customHeight="1">
      <c r="A8" s="453" t="s">
        <v>18</v>
      </c>
      <c r="B8" s="453" t="s">
        <v>17</v>
      </c>
      <c r="C8" s="457" t="s">
        <v>83</v>
      </c>
      <c r="D8" s="457"/>
      <c r="E8" s="457"/>
      <c r="F8" s="457"/>
      <c r="G8" s="457"/>
      <c r="H8" s="457"/>
      <c r="I8" s="456" t="s">
        <v>84</v>
      </c>
      <c r="J8" s="457"/>
      <c r="K8" s="457"/>
      <c r="L8" s="457"/>
      <c r="M8" s="457"/>
      <c r="N8" s="457"/>
      <c r="O8" s="452" t="s">
        <v>87</v>
      </c>
      <c r="P8" s="452"/>
      <c r="Q8" s="159"/>
    </row>
    <row r="9" spans="1:17" ht="51.75" customHeight="1">
      <c r="A9" s="454"/>
      <c r="B9" s="454"/>
      <c r="C9" s="465" t="s">
        <v>98</v>
      </c>
      <c r="D9" s="453" t="s">
        <v>100</v>
      </c>
      <c r="E9" s="453" t="s">
        <v>76</v>
      </c>
      <c r="F9" s="186" t="s">
        <v>162</v>
      </c>
      <c r="G9" s="456" t="s">
        <v>86</v>
      </c>
      <c r="H9" s="457"/>
      <c r="I9" s="174" t="s">
        <v>98</v>
      </c>
      <c r="J9" s="453" t="s">
        <v>92</v>
      </c>
      <c r="K9" s="186" t="s">
        <v>95</v>
      </c>
      <c r="L9" s="186" t="s">
        <v>162</v>
      </c>
      <c r="M9" s="452" t="s">
        <v>85</v>
      </c>
      <c r="N9" s="452"/>
      <c r="O9" s="453" t="s">
        <v>81</v>
      </c>
      <c r="P9" s="453" t="s">
        <v>82</v>
      </c>
      <c r="Q9" s="171" t="s">
        <v>79</v>
      </c>
    </row>
    <row r="10" spans="1:17" ht="36" customHeight="1">
      <c r="A10" s="455"/>
      <c r="B10" s="455"/>
      <c r="C10" s="466"/>
      <c r="D10" s="455"/>
      <c r="E10" s="455"/>
      <c r="F10" s="135" t="s">
        <v>146</v>
      </c>
      <c r="G10" s="135" t="s">
        <v>0</v>
      </c>
      <c r="H10" s="158" t="s">
        <v>99</v>
      </c>
      <c r="I10" s="135" t="s">
        <v>101</v>
      </c>
      <c r="J10" s="455"/>
      <c r="K10" s="135" t="s">
        <v>96</v>
      </c>
      <c r="L10" s="135" t="s">
        <v>96</v>
      </c>
      <c r="M10" s="135" t="s">
        <v>0</v>
      </c>
      <c r="N10" s="135" t="s">
        <v>99</v>
      </c>
      <c r="O10" s="455"/>
      <c r="P10" s="455"/>
      <c r="Q10" s="135" t="s">
        <v>90</v>
      </c>
    </row>
    <row r="11" spans="1:21" ht="21" customHeight="1">
      <c r="A11" s="59">
        <v>1</v>
      </c>
      <c r="B11" s="44" t="s">
        <v>39</v>
      </c>
      <c r="C11" s="35">
        <v>2583</v>
      </c>
      <c r="D11" s="35">
        <v>625</v>
      </c>
      <c r="E11" s="35">
        <v>3845</v>
      </c>
      <c r="F11" s="35">
        <v>3862</v>
      </c>
      <c r="G11" s="35">
        <f>F11-E11</f>
        <v>17</v>
      </c>
      <c r="H11" s="35">
        <f aca="true" t="shared" si="0" ref="H11:H36">F11-C11</f>
        <v>1279</v>
      </c>
      <c r="I11" s="35">
        <v>34560</v>
      </c>
      <c r="J11" s="35"/>
      <c r="K11" s="35">
        <v>34560</v>
      </c>
      <c r="L11" s="35">
        <v>34560</v>
      </c>
      <c r="M11" s="35">
        <f aca="true" t="shared" si="1" ref="M11:M36">L11-K11</f>
        <v>0</v>
      </c>
      <c r="N11" s="35">
        <f aca="true" t="shared" si="2" ref="N11:N36">L11-I11</f>
        <v>0</v>
      </c>
      <c r="O11" s="35">
        <v>0</v>
      </c>
      <c r="P11" s="35">
        <v>0</v>
      </c>
      <c r="Q11" s="35">
        <f>60*Q38</f>
        <v>1800</v>
      </c>
      <c r="S11" s="125">
        <v>-4</v>
      </c>
      <c r="T11" s="172">
        <f>S11+F11</f>
        <v>3858</v>
      </c>
      <c r="U11" s="172"/>
    </row>
    <row r="12" spans="1:21" ht="21" customHeight="1">
      <c r="A12" s="60">
        <v>2</v>
      </c>
      <c r="B12" s="45" t="s">
        <v>65</v>
      </c>
      <c r="C12" s="33">
        <v>220113</v>
      </c>
      <c r="D12" s="33">
        <v>5000</v>
      </c>
      <c r="E12" s="33">
        <v>223824</v>
      </c>
      <c r="F12" s="33">
        <v>223596</v>
      </c>
      <c r="G12" s="33">
        <f aca="true" t="shared" si="3" ref="G12:G36">F12-E12</f>
        <v>-228</v>
      </c>
      <c r="H12" s="33">
        <f t="shared" si="0"/>
        <v>3483</v>
      </c>
      <c r="I12" s="33">
        <v>345780</v>
      </c>
      <c r="J12" s="33"/>
      <c r="K12" s="33">
        <v>345780</v>
      </c>
      <c r="L12" s="33">
        <v>345780</v>
      </c>
      <c r="M12" s="33">
        <f t="shared" si="1"/>
        <v>0</v>
      </c>
      <c r="N12" s="33">
        <f t="shared" si="2"/>
        <v>0</v>
      </c>
      <c r="O12" s="33">
        <v>0</v>
      </c>
      <c r="P12" s="33">
        <v>0</v>
      </c>
      <c r="Q12" s="33">
        <f>11466*Q38</f>
        <v>343980</v>
      </c>
      <c r="S12" s="125">
        <v>-696</v>
      </c>
      <c r="T12" s="172">
        <f aca="true" t="shared" si="4" ref="T12:T36">S12+F12</f>
        <v>222900</v>
      </c>
      <c r="U12" s="172"/>
    </row>
    <row r="13" spans="1:21" ht="21" customHeight="1">
      <c r="A13" s="61">
        <v>3</v>
      </c>
      <c r="B13" s="46" t="s">
        <v>3</v>
      </c>
      <c r="C13" s="34">
        <v>35009</v>
      </c>
      <c r="D13" s="34">
        <v>2000</v>
      </c>
      <c r="E13" s="34">
        <v>35380</v>
      </c>
      <c r="F13" s="34">
        <v>35400</v>
      </c>
      <c r="G13" s="34">
        <f t="shared" si="3"/>
        <v>20</v>
      </c>
      <c r="H13" s="34">
        <f t="shared" si="0"/>
        <v>391</v>
      </c>
      <c r="I13" s="34">
        <v>47340</v>
      </c>
      <c r="J13" s="34"/>
      <c r="K13" s="34">
        <v>47340</v>
      </c>
      <c r="L13" s="34">
        <v>47340</v>
      </c>
      <c r="M13" s="34">
        <f t="shared" si="1"/>
        <v>0</v>
      </c>
      <c r="N13" s="34">
        <f t="shared" si="2"/>
        <v>0</v>
      </c>
      <c r="O13" s="34">
        <v>0</v>
      </c>
      <c r="P13" s="34">
        <v>0</v>
      </c>
      <c r="Q13" s="34">
        <v>21288</v>
      </c>
      <c r="S13" s="125">
        <v>75</v>
      </c>
      <c r="T13" s="172">
        <f t="shared" si="4"/>
        <v>35475</v>
      </c>
      <c r="U13" s="172"/>
    </row>
    <row r="14" spans="1:21" ht="21" customHeight="1">
      <c r="A14" s="59">
        <v>4</v>
      </c>
      <c r="B14" s="44" t="s">
        <v>31</v>
      </c>
      <c r="C14" s="35">
        <v>43180</v>
      </c>
      <c r="D14" s="35">
        <v>12500</v>
      </c>
      <c r="E14" s="35">
        <v>56504</v>
      </c>
      <c r="F14" s="35">
        <v>56828</v>
      </c>
      <c r="G14" s="35">
        <f t="shared" si="3"/>
        <v>324</v>
      </c>
      <c r="H14" s="35">
        <f t="shared" si="0"/>
        <v>13648</v>
      </c>
      <c r="I14" s="35">
        <v>59670</v>
      </c>
      <c r="J14" s="35"/>
      <c r="K14" s="35">
        <v>59670</v>
      </c>
      <c r="L14" s="35">
        <v>59670</v>
      </c>
      <c r="M14" s="35">
        <f t="shared" si="1"/>
        <v>0</v>
      </c>
      <c r="N14" s="35">
        <f t="shared" si="2"/>
        <v>0</v>
      </c>
      <c r="O14" s="35">
        <v>0</v>
      </c>
      <c r="P14" s="35">
        <v>0</v>
      </c>
      <c r="Q14" s="35">
        <v>37500</v>
      </c>
      <c r="S14" s="125">
        <v>-335</v>
      </c>
      <c r="T14" s="172">
        <f t="shared" si="4"/>
        <v>56493</v>
      </c>
      <c r="U14" s="172"/>
    </row>
    <row r="15" spans="1:21" ht="21" customHeight="1">
      <c r="A15" s="60">
        <v>5</v>
      </c>
      <c r="B15" s="45" t="s">
        <v>5</v>
      </c>
      <c r="C15" s="33">
        <v>48036</v>
      </c>
      <c r="D15" s="33">
        <v>2000</v>
      </c>
      <c r="E15" s="33">
        <v>50262</v>
      </c>
      <c r="F15" s="33">
        <v>50498</v>
      </c>
      <c r="G15" s="33">
        <f t="shared" si="3"/>
        <v>236</v>
      </c>
      <c r="H15" s="33">
        <f t="shared" si="0"/>
        <v>2462</v>
      </c>
      <c r="I15" s="33">
        <v>38700</v>
      </c>
      <c r="J15" s="33"/>
      <c r="K15" s="33">
        <v>38700</v>
      </c>
      <c r="L15" s="33">
        <v>38700</v>
      </c>
      <c r="M15" s="33">
        <f t="shared" si="1"/>
        <v>0</v>
      </c>
      <c r="N15" s="33">
        <f t="shared" si="2"/>
        <v>0</v>
      </c>
      <c r="O15" s="33">
        <v>0</v>
      </c>
      <c r="P15" s="33">
        <v>0</v>
      </c>
      <c r="Q15" s="33">
        <f>540*Q38</f>
        <v>16200</v>
      </c>
      <c r="S15" s="125">
        <v>-1</v>
      </c>
      <c r="T15" s="172">
        <f t="shared" si="4"/>
        <v>50497</v>
      </c>
      <c r="U15" s="172"/>
    </row>
    <row r="16" spans="1:21" ht="21" customHeight="1">
      <c r="A16" s="61">
        <v>6</v>
      </c>
      <c r="B16" s="46" t="s">
        <v>32</v>
      </c>
      <c r="C16" s="34">
        <v>122047</v>
      </c>
      <c r="D16" s="34">
        <v>8000</v>
      </c>
      <c r="E16" s="34">
        <v>115823</v>
      </c>
      <c r="F16" s="34">
        <v>115095</v>
      </c>
      <c r="G16" s="34">
        <f t="shared" si="3"/>
        <v>-728</v>
      </c>
      <c r="H16" s="34">
        <f t="shared" si="0"/>
        <v>-6952</v>
      </c>
      <c r="I16" s="34">
        <v>290520</v>
      </c>
      <c r="J16" s="34"/>
      <c r="K16" s="34">
        <v>290520</v>
      </c>
      <c r="L16" s="34">
        <v>290520</v>
      </c>
      <c r="M16" s="34">
        <f t="shared" si="1"/>
        <v>0</v>
      </c>
      <c r="N16" s="34">
        <f t="shared" si="2"/>
        <v>0</v>
      </c>
      <c r="O16" s="34">
        <v>0</v>
      </c>
      <c r="P16" s="34">
        <v>0</v>
      </c>
      <c r="Q16" s="34">
        <f>10134*Q38</f>
        <v>304020</v>
      </c>
      <c r="S16" s="125">
        <v>475</v>
      </c>
      <c r="T16" s="172">
        <f t="shared" si="4"/>
        <v>115570</v>
      </c>
      <c r="U16" s="172"/>
    </row>
    <row r="17" spans="1:21" ht="21" customHeight="1">
      <c r="A17" s="59">
        <v>7</v>
      </c>
      <c r="B17" s="44" t="s">
        <v>66</v>
      </c>
      <c r="C17" s="35">
        <v>95881</v>
      </c>
      <c r="D17" s="35">
        <v>8000</v>
      </c>
      <c r="E17" s="35">
        <v>96458</v>
      </c>
      <c r="F17" s="35">
        <v>96490</v>
      </c>
      <c r="G17" s="35">
        <f t="shared" si="3"/>
        <v>32</v>
      </c>
      <c r="H17" s="35">
        <f t="shared" si="0"/>
        <v>609</v>
      </c>
      <c r="I17" s="35">
        <v>145500</v>
      </c>
      <c r="J17" s="35"/>
      <c r="K17" s="35">
        <v>145500</v>
      </c>
      <c r="L17" s="35">
        <v>145500</v>
      </c>
      <c r="M17" s="35">
        <f t="shared" si="1"/>
        <v>0</v>
      </c>
      <c r="N17" s="35">
        <f t="shared" si="2"/>
        <v>0</v>
      </c>
      <c r="O17" s="35">
        <v>0</v>
      </c>
      <c r="P17" s="35">
        <v>0</v>
      </c>
      <c r="Q17" s="35">
        <f>3180*Q38</f>
        <v>95400</v>
      </c>
      <c r="S17" s="125">
        <v>-118</v>
      </c>
      <c r="T17" s="172">
        <f t="shared" si="4"/>
        <v>96372</v>
      </c>
      <c r="U17" s="172"/>
    </row>
    <row r="18" spans="1:21" ht="21" customHeight="1">
      <c r="A18" s="60">
        <v>8</v>
      </c>
      <c r="B18" s="45" t="s">
        <v>67</v>
      </c>
      <c r="C18" s="33">
        <v>26405</v>
      </c>
      <c r="D18" s="33">
        <v>6250</v>
      </c>
      <c r="E18" s="33">
        <v>27664</v>
      </c>
      <c r="F18" s="33">
        <v>27693</v>
      </c>
      <c r="G18" s="33">
        <f t="shared" si="3"/>
        <v>29</v>
      </c>
      <c r="H18" s="33">
        <f t="shared" si="0"/>
        <v>1288</v>
      </c>
      <c r="I18" s="33">
        <v>42930</v>
      </c>
      <c r="J18" s="33"/>
      <c r="K18" s="33">
        <v>42930</v>
      </c>
      <c r="L18" s="33">
        <v>42930</v>
      </c>
      <c r="M18" s="33">
        <f t="shared" si="1"/>
        <v>0</v>
      </c>
      <c r="N18" s="33">
        <f t="shared" si="2"/>
        <v>0</v>
      </c>
      <c r="O18" s="33">
        <v>0</v>
      </c>
      <c r="P18" s="33">
        <v>0</v>
      </c>
      <c r="Q18" s="33">
        <f>1431*Q38</f>
        <v>42930</v>
      </c>
      <c r="S18" s="125">
        <v>-34</v>
      </c>
      <c r="T18" s="172">
        <f t="shared" si="4"/>
        <v>27659</v>
      </c>
      <c r="U18" s="172"/>
    </row>
    <row r="19" spans="1:21" ht="21" customHeight="1">
      <c r="A19" s="61">
        <v>9</v>
      </c>
      <c r="B19" s="46" t="s">
        <v>33</v>
      </c>
      <c r="C19" s="34">
        <v>52392</v>
      </c>
      <c r="D19" s="34">
        <v>5000</v>
      </c>
      <c r="E19" s="34">
        <v>35005</v>
      </c>
      <c r="F19" s="34">
        <v>35249</v>
      </c>
      <c r="G19" s="34">
        <f t="shared" si="3"/>
        <v>244</v>
      </c>
      <c r="H19" s="34">
        <f t="shared" si="0"/>
        <v>-17143</v>
      </c>
      <c r="I19" s="34">
        <v>82770</v>
      </c>
      <c r="J19" s="34"/>
      <c r="K19" s="34">
        <v>82770</v>
      </c>
      <c r="L19" s="34">
        <v>82770</v>
      </c>
      <c r="M19" s="34">
        <f t="shared" si="1"/>
        <v>0</v>
      </c>
      <c r="N19" s="34">
        <f t="shared" si="2"/>
        <v>0</v>
      </c>
      <c r="O19" s="34">
        <v>0</v>
      </c>
      <c r="P19" s="34">
        <v>0</v>
      </c>
      <c r="Q19" s="34">
        <v>54000</v>
      </c>
      <c r="S19" s="125">
        <v>117</v>
      </c>
      <c r="T19" s="172">
        <f t="shared" si="4"/>
        <v>35366</v>
      </c>
      <c r="U19" s="172"/>
    </row>
    <row r="20" spans="1:21" ht="21" customHeight="1">
      <c r="A20" s="59">
        <v>10</v>
      </c>
      <c r="B20" s="44" t="s">
        <v>6</v>
      </c>
      <c r="C20" s="35">
        <v>52994</v>
      </c>
      <c r="D20" s="35">
        <v>15000</v>
      </c>
      <c r="E20" s="35">
        <v>52208</v>
      </c>
      <c r="F20" s="35">
        <v>52575</v>
      </c>
      <c r="G20" s="35">
        <f t="shared" si="3"/>
        <v>367</v>
      </c>
      <c r="H20" s="35">
        <f t="shared" si="0"/>
        <v>-419</v>
      </c>
      <c r="I20" s="35">
        <v>90360</v>
      </c>
      <c r="J20" s="35"/>
      <c r="K20" s="35">
        <v>90360</v>
      </c>
      <c r="L20" s="35">
        <v>90360</v>
      </c>
      <c r="M20" s="35">
        <f t="shared" si="1"/>
        <v>0</v>
      </c>
      <c r="N20" s="35">
        <f t="shared" si="2"/>
        <v>0</v>
      </c>
      <c r="O20" s="35">
        <v>0</v>
      </c>
      <c r="P20" s="35">
        <v>0</v>
      </c>
      <c r="Q20" s="35">
        <f>3012*Q38</f>
        <v>90360</v>
      </c>
      <c r="S20" s="125">
        <v>179</v>
      </c>
      <c r="T20" s="172">
        <f t="shared" si="4"/>
        <v>52754</v>
      </c>
      <c r="U20" s="172"/>
    </row>
    <row r="21" spans="1:21" ht="21" customHeight="1">
      <c r="A21" s="60">
        <v>11</v>
      </c>
      <c r="B21" s="45" t="s">
        <v>34</v>
      </c>
      <c r="C21" s="33">
        <v>215835</v>
      </c>
      <c r="D21" s="33">
        <v>35000</v>
      </c>
      <c r="E21" s="33">
        <v>222517</v>
      </c>
      <c r="F21" s="33">
        <v>220860</v>
      </c>
      <c r="G21" s="33">
        <f t="shared" si="3"/>
        <v>-1657</v>
      </c>
      <c r="H21" s="33">
        <f t="shared" si="0"/>
        <v>5025</v>
      </c>
      <c r="I21" s="33">
        <v>363840</v>
      </c>
      <c r="J21" s="33"/>
      <c r="K21" s="33">
        <v>363840</v>
      </c>
      <c r="L21" s="33">
        <v>363840</v>
      </c>
      <c r="M21" s="33">
        <f t="shared" si="1"/>
        <v>0</v>
      </c>
      <c r="N21" s="33">
        <f t="shared" si="2"/>
        <v>0</v>
      </c>
      <c r="O21" s="33">
        <v>0</v>
      </c>
      <c r="P21" s="33">
        <v>0</v>
      </c>
      <c r="Q21" s="33">
        <f>13208*Q38</f>
        <v>396240</v>
      </c>
      <c r="S21" s="125">
        <v>123</v>
      </c>
      <c r="T21" s="172">
        <f t="shared" si="4"/>
        <v>220983</v>
      </c>
      <c r="U21" s="172"/>
    </row>
    <row r="22" spans="1:21" ht="21" customHeight="1">
      <c r="A22" s="61">
        <v>12</v>
      </c>
      <c r="B22" s="46" t="s">
        <v>35</v>
      </c>
      <c r="C22" s="34">
        <v>488135</v>
      </c>
      <c r="D22" s="34">
        <v>75000</v>
      </c>
      <c r="E22" s="34">
        <v>565713</v>
      </c>
      <c r="F22" s="34">
        <v>567100</v>
      </c>
      <c r="G22" s="34">
        <f t="shared" si="3"/>
        <v>1387</v>
      </c>
      <c r="H22" s="34">
        <f t="shared" si="0"/>
        <v>78965</v>
      </c>
      <c r="I22" s="34">
        <v>343980</v>
      </c>
      <c r="J22" s="34"/>
      <c r="K22" s="34">
        <v>343980</v>
      </c>
      <c r="L22" s="34">
        <v>343980</v>
      </c>
      <c r="M22" s="34">
        <f t="shared" si="1"/>
        <v>0</v>
      </c>
      <c r="N22" s="34">
        <f t="shared" si="2"/>
        <v>0</v>
      </c>
      <c r="O22" s="34">
        <v>0</v>
      </c>
      <c r="P22" s="34">
        <v>0</v>
      </c>
      <c r="Q22" s="34">
        <f>12486*Q38</f>
        <v>374580</v>
      </c>
      <c r="S22" s="125">
        <v>6151</v>
      </c>
      <c r="T22" s="172">
        <f t="shared" si="4"/>
        <v>573251</v>
      </c>
      <c r="U22" s="172"/>
    </row>
    <row r="23" spans="1:21" ht="21" customHeight="1">
      <c r="A23" s="59">
        <v>13</v>
      </c>
      <c r="B23" s="44" t="s">
        <v>68</v>
      </c>
      <c r="C23" s="35">
        <v>216166</v>
      </c>
      <c r="D23" s="35">
        <v>20000</v>
      </c>
      <c r="E23" s="35">
        <v>217812</v>
      </c>
      <c r="F23" s="35">
        <v>217527</v>
      </c>
      <c r="G23" s="35">
        <f t="shared" si="3"/>
        <v>-285</v>
      </c>
      <c r="H23" s="35">
        <f t="shared" si="0"/>
        <v>1361</v>
      </c>
      <c r="I23" s="35">
        <v>257400</v>
      </c>
      <c r="J23" s="35"/>
      <c r="K23" s="35">
        <v>257400</v>
      </c>
      <c r="L23" s="35">
        <v>257400</v>
      </c>
      <c r="M23" s="35">
        <f t="shared" si="1"/>
        <v>0</v>
      </c>
      <c r="N23" s="35">
        <f t="shared" si="2"/>
        <v>0</v>
      </c>
      <c r="O23" s="35">
        <v>0</v>
      </c>
      <c r="P23" s="35">
        <v>0</v>
      </c>
      <c r="Q23" s="35">
        <f>9240*Q38</f>
        <v>277200</v>
      </c>
      <c r="S23" s="125">
        <v>222</v>
      </c>
      <c r="T23" s="172">
        <f t="shared" si="4"/>
        <v>217749</v>
      </c>
      <c r="U23" s="172"/>
    </row>
    <row r="24" spans="1:21" ht="21" customHeight="1">
      <c r="A24" s="60">
        <v>14</v>
      </c>
      <c r="B24" s="45" t="s">
        <v>36</v>
      </c>
      <c r="C24" s="33">
        <v>338410</v>
      </c>
      <c r="D24" s="33">
        <v>30000</v>
      </c>
      <c r="E24" s="33">
        <v>347886</v>
      </c>
      <c r="F24" s="33">
        <v>345200</v>
      </c>
      <c r="G24" s="33">
        <f t="shared" si="3"/>
        <v>-2686</v>
      </c>
      <c r="H24" s="33">
        <f t="shared" si="0"/>
        <v>6790</v>
      </c>
      <c r="I24" s="33">
        <v>538260</v>
      </c>
      <c r="J24" s="33"/>
      <c r="K24" s="33">
        <v>538260</v>
      </c>
      <c r="L24" s="33">
        <v>538260</v>
      </c>
      <c r="M24" s="33">
        <f t="shared" si="1"/>
        <v>0</v>
      </c>
      <c r="N24" s="33">
        <f t="shared" si="2"/>
        <v>0</v>
      </c>
      <c r="O24" s="33">
        <v>0</v>
      </c>
      <c r="P24" s="33">
        <v>0</v>
      </c>
      <c r="Q24" s="33">
        <f>19478*Q38</f>
        <v>584340</v>
      </c>
      <c r="S24" s="125">
        <v>-318</v>
      </c>
      <c r="T24" s="172">
        <f t="shared" si="4"/>
        <v>344882</v>
      </c>
      <c r="U24" s="172"/>
    </row>
    <row r="25" spans="1:21" ht="21" customHeight="1">
      <c r="A25" s="61">
        <v>15</v>
      </c>
      <c r="B25" s="46" t="s">
        <v>13</v>
      </c>
      <c r="C25" s="34">
        <v>182453</v>
      </c>
      <c r="D25" s="34">
        <v>6250</v>
      </c>
      <c r="E25" s="34">
        <v>175624</v>
      </c>
      <c r="F25" s="34">
        <v>169822</v>
      </c>
      <c r="G25" s="34">
        <f t="shared" si="3"/>
        <v>-5802</v>
      </c>
      <c r="H25" s="34">
        <f t="shared" si="0"/>
        <v>-12631</v>
      </c>
      <c r="I25" s="34">
        <v>80370</v>
      </c>
      <c r="J25" s="34"/>
      <c r="K25" s="34">
        <v>80370</v>
      </c>
      <c r="L25" s="34">
        <v>80370</v>
      </c>
      <c r="M25" s="34">
        <f t="shared" si="1"/>
        <v>0</v>
      </c>
      <c r="N25" s="34">
        <f t="shared" si="2"/>
        <v>0</v>
      </c>
      <c r="O25" s="34">
        <v>0</v>
      </c>
      <c r="P25" s="34">
        <v>0</v>
      </c>
      <c r="Q25" s="34">
        <f>930*Q38</f>
        <v>27900</v>
      </c>
      <c r="S25" s="125">
        <v>115</v>
      </c>
      <c r="T25" s="172">
        <f t="shared" si="4"/>
        <v>169937</v>
      </c>
      <c r="U25" s="172"/>
    </row>
    <row r="26" spans="1:21" ht="21" customHeight="1">
      <c r="A26" s="60">
        <v>16</v>
      </c>
      <c r="B26" s="45" t="s">
        <v>12</v>
      </c>
      <c r="C26" s="35">
        <v>21262</v>
      </c>
      <c r="D26" s="35">
        <v>3125</v>
      </c>
      <c r="E26" s="35">
        <v>21937</v>
      </c>
      <c r="F26" s="35">
        <v>22548</v>
      </c>
      <c r="G26" s="35">
        <f t="shared" si="3"/>
        <v>611</v>
      </c>
      <c r="H26" s="35">
        <f t="shared" si="0"/>
        <v>1286</v>
      </c>
      <c r="I26" s="33">
        <v>43290</v>
      </c>
      <c r="J26" s="33"/>
      <c r="K26" s="33">
        <v>43290</v>
      </c>
      <c r="L26" s="33">
        <v>43290</v>
      </c>
      <c r="M26" s="35">
        <f t="shared" si="1"/>
        <v>0</v>
      </c>
      <c r="N26" s="35">
        <f t="shared" si="2"/>
        <v>0</v>
      </c>
      <c r="O26" s="33">
        <v>0</v>
      </c>
      <c r="P26" s="33">
        <v>0</v>
      </c>
      <c r="Q26" s="33">
        <f>720*Q38</f>
        <v>21600</v>
      </c>
      <c r="S26" s="125">
        <v>-5</v>
      </c>
      <c r="T26" s="172">
        <f t="shared" si="4"/>
        <v>22543</v>
      </c>
      <c r="U26" s="172"/>
    </row>
    <row r="27" spans="1:21" ht="21" customHeight="1">
      <c r="A27" s="60">
        <v>17</v>
      </c>
      <c r="B27" s="45" t="s">
        <v>69</v>
      </c>
      <c r="C27" s="33">
        <v>65202</v>
      </c>
      <c r="D27" s="33">
        <v>6250</v>
      </c>
      <c r="E27" s="33">
        <v>67062</v>
      </c>
      <c r="F27" s="33">
        <v>67455</v>
      </c>
      <c r="G27" s="33">
        <f t="shared" si="3"/>
        <v>393</v>
      </c>
      <c r="H27" s="33">
        <f t="shared" si="0"/>
        <v>2253</v>
      </c>
      <c r="I27" s="33">
        <v>81660</v>
      </c>
      <c r="J27" s="33"/>
      <c r="K27" s="33">
        <v>81660</v>
      </c>
      <c r="L27" s="33">
        <v>81660</v>
      </c>
      <c r="M27" s="33">
        <f t="shared" si="1"/>
        <v>0</v>
      </c>
      <c r="N27" s="33">
        <f t="shared" si="2"/>
        <v>0</v>
      </c>
      <c r="O27" s="33">
        <v>0</v>
      </c>
      <c r="P27" s="33">
        <v>0</v>
      </c>
      <c r="Q27" s="33">
        <f>2238*Q38</f>
        <v>67140</v>
      </c>
      <c r="S27" s="125">
        <v>96</v>
      </c>
      <c r="T27" s="172">
        <f t="shared" si="4"/>
        <v>67551</v>
      </c>
      <c r="U27" s="172"/>
    </row>
    <row r="28" spans="1:21" ht="21" customHeight="1">
      <c r="A28" s="61">
        <v>18</v>
      </c>
      <c r="B28" s="46" t="s">
        <v>37</v>
      </c>
      <c r="C28" s="34">
        <v>222552</v>
      </c>
      <c r="D28" s="34">
        <v>50000</v>
      </c>
      <c r="E28" s="34">
        <v>231576</v>
      </c>
      <c r="F28" s="34">
        <v>231576</v>
      </c>
      <c r="G28" s="34">
        <f t="shared" si="3"/>
        <v>0</v>
      </c>
      <c r="H28" s="34">
        <f t="shared" si="0"/>
        <v>9024</v>
      </c>
      <c r="I28" s="34">
        <v>233280</v>
      </c>
      <c r="J28" s="34"/>
      <c r="K28" s="34">
        <v>233280</v>
      </c>
      <c r="L28" s="34">
        <v>233280</v>
      </c>
      <c r="M28" s="34">
        <f t="shared" si="1"/>
        <v>0</v>
      </c>
      <c r="N28" s="34">
        <f t="shared" si="2"/>
        <v>0</v>
      </c>
      <c r="O28" s="34">
        <v>0</v>
      </c>
      <c r="P28" s="34">
        <v>0</v>
      </c>
      <c r="Q28" s="34">
        <v>155520</v>
      </c>
      <c r="S28" s="125">
        <v>414</v>
      </c>
      <c r="T28" s="172">
        <f t="shared" si="4"/>
        <v>231990</v>
      </c>
      <c r="U28" s="172"/>
    </row>
    <row r="29" spans="1:21" ht="21" customHeight="1">
      <c r="A29" s="59">
        <v>19</v>
      </c>
      <c r="B29" s="44" t="s">
        <v>70</v>
      </c>
      <c r="C29" s="35">
        <v>193432</v>
      </c>
      <c r="D29" s="35">
        <v>60000</v>
      </c>
      <c r="E29" s="35">
        <v>201203</v>
      </c>
      <c r="F29" s="35">
        <v>201518</v>
      </c>
      <c r="G29" s="35">
        <f t="shared" si="3"/>
        <v>315</v>
      </c>
      <c r="H29" s="35">
        <f t="shared" si="0"/>
        <v>8086</v>
      </c>
      <c r="I29" s="35">
        <v>192420</v>
      </c>
      <c r="J29" s="35"/>
      <c r="K29" s="35">
        <v>192420</v>
      </c>
      <c r="L29" s="35">
        <v>192420</v>
      </c>
      <c r="M29" s="35">
        <f t="shared" si="1"/>
        <v>0</v>
      </c>
      <c r="N29" s="35">
        <f t="shared" si="2"/>
        <v>0</v>
      </c>
      <c r="O29" s="35">
        <v>0</v>
      </c>
      <c r="P29" s="35">
        <v>0</v>
      </c>
      <c r="Q29" s="35">
        <f>4614*Q38</f>
        <v>138420</v>
      </c>
      <c r="S29" s="125">
        <v>479</v>
      </c>
      <c r="T29" s="172">
        <f t="shared" si="4"/>
        <v>201997</v>
      </c>
      <c r="U29" s="172"/>
    </row>
    <row r="30" spans="1:21" ht="21" customHeight="1">
      <c r="A30" s="60">
        <v>20</v>
      </c>
      <c r="B30" s="45" t="s">
        <v>71</v>
      </c>
      <c r="C30" s="33">
        <v>182241</v>
      </c>
      <c r="D30" s="33">
        <v>31250</v>
      </c>
      <c r="E30" s="33">
        <v>191777</v>
      </c>
      <c r="F30" s="33">
        <v>192771</v>
      </c>
      <c r="G30" s="33">
        <f t="shared" si="3"/>
        <v>994</v>
      </c>
      <c r="H30" s="33">
        <f t="shared" si="0"/>
        <v>10530</v>
      </c>
      <c r="I30" s="33">
        <v>231240</v>
      </c>
      <c r="J30" s="33"/>
      <c r="K30" s="33">
        <v>231240</v>
      </c>
      <c r="L30" s="33">
        <v>231240</v>
      </c>
      <c r="M30" s="33">
        <f t="shared" si="1"/>
        <v>0</v>
      </c>
      <c r="N30" s="33">
        <f t="shared" si="2"/>
        <v>0</v>
      </c>
      <c r="O30" s="33">
        <v>0</v>
      </c>
      <c r="P30" s="33">
        <v>0</v>
      </c>
      <c r="Q30" s="33">
        <f>5374*Q38</f>
        <v>161220</v>
      </c>
      <c r="S30" s="125">
        <v>602</v>
      </c>
      <c r="T30" s="172">
        <f t="shared" si="4"/>
        <v>193373</v>
      </c>
      <c r="U30" s="172"/>
    </row>
    <row r="31" spans="1:21" ht="21" customHeight="1">
      <c r="A31" s="61">
        <v>21</v>
      </c>
      <c r="B31" s="46" t="s">
        <v>72</v>
      </c>
      <c r="C31" s="34">
        <v>58445</v>
      </c>
      <c r="D31" s="34">
        <v>6250</v>
      </c>
      <c r="E31" s="34">
        <v>49948</v>
      </c>
      <c r="F31" s="34">
        <v>49550</v>
      </c>
      <c r="G31" s="34">
        <f t="shared" si="3"/>
        <v>-398</v>
      </c>
      <c r="H31" s="34">
        <f t="shared" si="0"/>
        <v>-8895</v>
      </c>
      <c r="I31" s="34">
        <v>55800</v>
      </c>
      <c r="J31" s="34"/>
      <c r="K31" s="34">
        <v>55800</v>
      </c>
      <c r="L31" s="34">
        <v>55800</v>
      </c>
      <c r="M31" s="34">
        <f t="shared" si="1"/>
        <v>0</v>
      </c>
      <c r="N31" s="34">
        <f t="shared" si="2"/>
        <v>0</v>
      </c>
      <c r="O31" s="34">
        <v>0</v>
      </c>
      <c r="P31" s="34">
        <v>0</v>
      </c>
      <c r="Q31" s="34">
        <f>2070*Q38</f>
        <v>62100</v>
      </c>
      <c r="S31" s="125">
        <v>47</v>
      </c>
      <c r="T31" s="172">
        <f t="shared" si="4"/>
        <v>49597</v>
      </c>
      <c r="U31" s="172"/>
    </row>
    <row r="32" spans="1:21" ht="21" customHeight="1">
      <c r="A32" s="59">
        <v>22</v>
      </c>
      <c r="B32" s="44" t="s">
        <v>7</v>
      </c>
      <c r="C32" s="35">
        <v>117387</v>
      </c>
      <c r="D32" s="35">
        <v>12500</v>
      </c>
      <c r="E32" s="35">
        <v>121115</v>
      </c>
      <c r="F32" s="35">
        <v>121671</v>
      </c>
      <c r="G32" s="35">
        <f t="shared" si="3"/>
        <v>556</v>
      </c>
      <c r="H32" s="35">
        <f t="shared" si="0"/>
        <v>4284</v>
      </c>
      <c r="I32" s="35">
        <v>227520</v>
      </c>
      <c r="J32" s="35"/>
      <c r="K32" s="35">
        <v>227520</v>
      </c>
      <c r="L32" s="35">
        <v>227520</v>
      </c>
      <c r="M32" s="35">
        <f t="shared" si="1"/>
        <v>0</v>
      </c>
      <c r="N32" s="35">
        <f t="shared" si="2"/>
        <v>0</v>
      </c>
      <c r="O32" s="35">
        <v>0</v>
      </c>
      <c r="P32" s="35">
        <v>0</v>
      </c>
      <c r="Q32" s="35">
        <v>66060</v>
      </c>
      <c r="S32" s="125">
        <v>-208</v>
      </c>
      <c r="T32" s="172">
        <f t="shared" si="4"/>
        <v>121463</v>
      </c>
      <c r="U32" s="172"/>
    </row>
    <row r="33" spans="1:21" ht="21" customHeight="1">
      <c r="A33" s="60">
        <v>23</v>
      </c>
      <c r="B33" s="45" t="s">
        <v>8</v>
      </c>
      <c r="C33" s="33">
        <v>118891</v>
      </c>
      <c r="D33" s="33">
        <v>12500</v>
      </c>
      <c r="E33" s="33">
        <v>114551</v>
      </c>
      <c r="F33" s="33">
        <v>114169</v>
      </c>
      <c r="G33" s="33">
        <f t="shared" si="3"/>
        <v>-382</v>
      </c>
      <c r="H33" s="33">
        <f t="shared" si="0"/>
        <v>-4722</v>
      </c>
      <c r="I33" s="33">
        <v>155010</v>
      </c>
      <c r="J33" s="33"/>
      <c r="K33" s="33">
        <v>155010</v>
      </c>
      <c r="L33" s="33">
        <v>155010</v>
      </c>
      <c r="M33" s="33">
        <f t="shared" si="1"/>
        <v>0</v>
      </c>
      <c r="N33" s="33">
        <f t="shared" si="2"/>
        <v>0</v>
      </c>
      <c r="O33" s="33">
        <v>0</v>
      </c>
      <c r="P33" s="33">
        <v>0</v>
      </c>
      <c r="Q33" s="33">
        <v>110000</v>
      </c>
      <c r="S33" s="125">
        <v>-292</v>
      </c>
      <c r="T33" s="172">
        <f t="shared" si="4"/>
        <v>113877</v>
      </c>
      <c r="U33" s="172"/>
    </row>
    <row r="34" spans="1:21" ht="21" customHeight="1">
      <c r="A34" s="61">
        <v>24</v>
      </c>
      <c r="B34" s="46" t="s">
        <v>40</v>
      </c>
      <c r="C34" s="34">
        <v>63882</v>
      </c>
      <c r="D34" s="34">
        <v>10000</v>
      </c>
      <c r="E34" s="34">
        <v>64823</v>
      </c>
      <c r="F34" s="34">
        <v>64762</v>
      </c>
      <c r="G34" s="34">
        <f t="shared" si="3"/>
        <v>-61</v>
      </c>
      <c r="H34" s="34">
        <f t="shared" si="0"/>
        <v>880</v>
      </c>
      <c r="I34" s="34">
        <v>117000</v>
      </c>
      <c r="J34" s="34"/>
      <c r="K34" s="34">
        <v>117000</v>
      </c>
      <c r="L34" s="34">
        <v>117000</v>
      </c>
      <c r="M34" s="34">
        <f t="shared" si="1"/>
        <v>0</v>
      </c>
      <c r="N34" s="34">
        <f t="shared" si="2"/>
        <v>0</v>
      </c>
      <c r="O34" s="34">
        <v>0</v>
      </c>
      <c r="P34" s="34">
        <v>0</v>
      </c>
      <c r="Q34" s="34">
        <f>4800*Q38</f>
        <v>144000</v>
      </c>
      <c r="S34" s="125">
        <v>-129</v>
      </c>
      <c r="T34" s="172">
        <f t="shared" si="4"/>
        <v>64633</v>
      </c>
      <c r="U34" s="172"/>
    </row>
    <row r="35" spans="1:21" ht="21" customHeight="1">
      <c r="A35" s="59">
        <v>25</v>
      </c>
      <c r="B35" s="44" t="s">
        <v>9</v>
      </c>
      <c r="C35" s="35">
        <v>342167</v>
      </c>
      <c r="D35" s="35">
        <v>45000</v>
      </c>
      <c r="E35" s="35">
        <v>348733</v>
      </c>
      <c r="F35" s="35">
        <v>349139</v>
      </c>
      <c r="G35" s="35">
        <f t="shared" si="3"/>
        <v>406</v>
      </c>
      <c r="H35" s="35">
        <f t="shared" si="0"/>
        <v>6972</v>
      </c>
      <c r="I35" s="35">
        <v>544470</v>
      </c>
      <c r="J35" s="35"/>
      <c r="K35" s="35">
        <v>544470</v>
      </c>
      <c r="L35" s="35">
        <v>544470</v>
      </c>
      <c r="M35" s="35">
        <f t="shared" si="1"/>
        <v>0</v>
      </c>
      <c r="N35" s="35">
        <f t="shared" si="2"/>
        <v>0</v>
      </c>
      <c r="O35" s="35">
        <v>0</v>
      </c>
      <c r="P35" s="35">
        <v>0</v>
      </c>
      <c r="Q35" s="35">
        <f>7524*Q38</f>
        <v>225720</v>
      </c>
      <c r="S35" s="125">
        <v>531</v>
      </c>
      <c r="T35" s="172">
        <f t="shared" si="4"/>
        <v>349670</v>
      </c>
      <c r="U35" s="172"/>
    </row>
    <row r="36" spans="1:21" ht="21" customHeight="1">
      <c r="A36" s="61">
        <v>26</v>
      </c>
      <c r="B36" s="46" t="s">
        <v>10</v>
      </c>
      <c r="C36" s="34">
        <v>202450</v>
      </c>
      <c r="D36" s="34">
        <v>20000</v>
      </c>
      <c r="E36" s="34">
        <v>224731</v>
      </c>
      <c r="F36" s="34">
        <v>225038</v>
      </c>
      <c r="G36" s="33">
        <f t="shared" si="3"/>
        <v>307</v>
      </c>
      <c r="H36" s="33">
        <f t="shared" si="0"/>
        <v>22588</v>
      </c>
      <c r="I36" s="34">
        <v>210600</v>
      </c>
      <c r="J36" s="34"/>
      <c r="K36" s="34">
        <v>210600</v>
      </c>
      <c r="L36" s="34">
        <v>210600</v>
      </c>
      <c r="M36" s="33">
        <f t="shared" si="1"/>
        <v>0</v>
      </c>
      <c r="N36" s="33">
        <f t="shared" si="2"/>
        <v>0</v>
      </c>
      <c r="O36" s="33">
        <v>0</v>
      </c>
      <c r="P36" s="33">
        <v>0</v>
      </c>
      <c r="Q36" s="34">
        <f>288*Q38</f>
        <v>8640</v>
      </c>
      <c r="S36" s="125">
        <v>-101</v>
      </c>
      <c r="T36" s="172">
        <f t="shared" si="4"/>
        <v>224937</v>
      </c>
      <c r="U36" s="172"/>
    </row>
    <row r="37" spans="1:19" s="127" customFormat="1" ht="21" customHeight="1">
      <c r="A37" s="137"/>
      <c r="B37" s="137" t="s">
        <v>11</v>
      </c>
      <c r="C37" s="138">
        <f aca="true" t="shared" si="5" ref="C37:N37">SUM(C11:C36)</f>
        <v>3727550</v>
      </c>
      <c r="D37" s="138">
        <f t="shared" si="5"/>
        <v>487500</v>
      </c>
      <c r="E37" s="138">
        <f t="shared" si="5"/>
        <v>3863981</v>
      </c>
      <c r="F37" s="138">
        <f t="shared" si="5"/>
        <v>3857992</v>
      </c>
      <c r="G37" s="138">
        <f t="shared" si="5"/>
        <v>-5989</v>
      </c>
      <c r="H37" s="138">
        <f t="shared" si="5"/>
        <v>130442</v>
      </c>
      <c r="I37" s="138">
        <f t="shared" si="5"/>
        <v>4854270</v>
      </c>
      <c r="J37" s="138"/>
      <c r="K37" s="138">
        <f t="shared" si="5"/>
        <v>4854270</v>
      </c>
      <c r="L37" s="138">
        <f t="shared" si="5"/>
        <v>4854270</v>
      </c>
      <c r="M37" s="138">
        <f t="shared" si="5"/>
        <v>0</v>
      </c>
      <c r="N37" s="138">
        <f t="shared" si="5"/>
        <v>0</v>
      </c>
      <c r="O37" s="138">
        <f>SUM(O11:O36)</f>
        <v>0</v>
      </c>
      <c r="P37" s="138">
        <f>SUM(P11:P36)</f>
        <v>0</v>
      </c>
      <c r="Q37" s="138">
        <f>SUM(Q11:Q36)</f>
        <v>3828158</v>
      </c>
      <c r="S37" s="127">
        <f>SUM(S11:S36)</f>
        <v>7385</v>
      </c>
    </row>
    <row r="38" spans="1:17" s="127" customFormat="1" ht="18" customHeight="1">
      <c r="A38" s="139"/>
      <c r="B38" s="130" t="s">
        <v>110</v>
      </c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Q38" s="140">
        <v>30</v>
      </c>
    </row>
    <row r="39" spans="1:14" ht="12" customHeight="1">
      <c r="A39" s="141"/>
      <c r="B39" s="141"/>
      <c r="C39" s="141"/>
      <c r="D39" s="141"/>
      <c r="E39" s="141"/>
      <c r="F39" s="188"/>
      <c r="G39" s="141"/>
      <c r="H39" s="142"/>
      <c r="I39" s="141"/>
      <c r="J39" s="141"/>
      <c r="K39" s="141"/>
      <c r="L39" s="141"/>
      <c r="M39" s="141"/>
      <c r="N39" s="141"/>
    </row>
    <row r="40" spans="1:14" ht="18" customHeight="1">
      <c r="A40" s="141"/>
      <c r="B40" s="143" t="s">
        <v>30</v>
      </c>
      <c r="C40" s="144"/>
      <c r="D40" s="144"/>
      <c r="E40" s="189"/>
      <c r="F40" s="166"/>
      <c r="G40" s="145"/>
      <c r="H40" s="146"/>
      <c r="I40" s="145"/>
      <c r="J40" s="145"/>
      <c r="K40" s="145"/>
      <c r="L40" s="185"/>
      <c r="M40" s="145"/>
      <c r="N40" s="145"/>
    </row>
    <row r="41" spans="1:14" ht="17.25" customHeight="1">
      <c r="A41" s="141"/>
      <c r="B41" s="143" t="s">
        <v>15</v>
      </c>
      <c r="C41" s="147"/>
      <c r="D41" s="147"/>
      <c r="E41" s="147"/>
      <c r="F41" s="147"/>
      <c r="G41" s="147"/>
      <c r="H41" s="142"/>
      <c r="K41" s="145"/>
      <c r="L41" s="145"/>
      <c r="M41" s="145"/>
      <c r="N41" s="145"/>
    </row>
    <row r="42" spans="1:14" ht="18" customHeight="1">
      <c r="A42" s="141"/>
      <c r="B42" s="148" t="s">
        <v>58</v>
      </c>
      <c r="C42" s="145"/>
      <c r="D42" s="145"/>
      <c r="E42" s="145"/>
      <c r="F42" s="147"/>
      <c r="G42" s="147"/>
      <c r="H42" s="149"/>
      <c r="K42" s="147"/>
      <c r="L42" s="147"/>
      <c r="M42" s="147"/>
      <c r="N42" s="147"/>
    </row>
    <row r="43" spans="1:14" ht="18" customHeight="1">
      <c r="A43" s="141"/>
      <c r="B43" s="148"/>
      <c r="C43" s="147"/>
      <c r="D43" s="147"/>
      <c r="E43" s="147"/>
      <c r="F43" s="147"/>
      <c r="G43" s="147"/>
      <c r="H43" s="149"/>
      <c r="K43" s="147"/>
      <c r="L43" s="147"/>
      <c r="M43" s="147"/>
      <c r="N43" s="147"/>
    </row>
    <row r="44" spans="1:14" ht="18" customHeight="1">
      <c r="A44" s="141"/>
      <c r="B44" s="143"/>
      <c r="C44" s="147"/>
      <c r="D44" s="147"/>
      <c r="E44" s="147"/>
      <c r="F44" s="147"/>
      <c r="G44" s="147"/>
      <c r="H44" s="149"/>
      <c r="I44" s="147"/>
      <c r="J44" s="147"/>
      <c r="K44" s="126"/>
      <c r="L44" s="126"/>
      <c r="M44" s="126"/>
      <c r="N44" s="126"/>
    </row>
    <row r="45" spans="1:8" ht="18" customHeight="1">
      <c r="A45" s="141"/>
      <c r="B45" s="132"/>
      <c r="H45" s="146"/>
    </row>
    <row r="46" spans="1:8" ht="19.5" customHeight="1">
      <c r="A46" s="132"/>
      <c r="B46" s="132"/>
      <c r="H46" s="146"/>
    </row>
    <row r="47" spans="1:14" ht="15.75">
      <c r="A47" s="132"/>
      <c r="B47" s="126"/>
      <c r="C47" s="150"/>
      <c r="D47" s="150"/>
      <c r="E47" s="150"/>
      <c r="F47" s="150"/>
      <c r="G47" s="150"/>
      <c r="H47" s="149"/>
      <c r="I47" s="150"/>
      <c r="J47" s="150"/>
      <c r="K47" s="150"/>
      <c r="L47" s="150"/>
      <c r="M47" s="150"/>
      <c r="N47" s="150"/>
    </row>
    <row r="48" spans="1:14" ht="18">
      <c r="A48" s="132"/>
      <c r="B48" s="126"/>
      <c r="C48" s="126"/>
      <c r="D48" s="126"/>
      <c r="E48" s="126"/>
      <c r="F48" s="126"/>
      <c r="G48" s="126"/>
      <c r="H48" s="149"/>
      <c r="I48" s="147"/>
      <c r="J48" s="147"/>
      <c r="K48" s="126"/>
      <c r="L48" s="126"/>
      <c r="M48" s="126"/>
      <c r="N48" s="126"/>
    </row>
    <row r="49" spans="1:14" ht="18">
      <c r="A49" s="132"/>
      <c r="B49" s="126"/>
      <c r="C49" s="126"/>
      <c r="D49" s="126"/>
      <c r="E49" s="126"/>
      <c r="F49" s="126"/>
      <c r="G49" s="126"/>
      <c r="H49" s="149"/>
      <c r="I49" s="147"/>
      <c r="J49" s="147"/>
      <c r="K49" s="151"/>
      <c r="L49" s="151"/>
      <c r="M49" s="126"/>
      <c r="N49" s="126"/>
    </row>
    <row r="50" spans="1:14" ht="18">
      <c r="A50" s="126"/>
      <c r="C50" s="126"/>
      <c r="D50" s="126"/>
      <c r="E50" s="126"/>
      <c r="F50" s="126"/>
      <c r="G50" s="126"/>
      <c r="I50" s="147"/>
      <c r="J50" s="147"/>
      <c r="K50" s="152"/>
      <c r="L50" s="151"/>
      <c r="M50" s="126"/>
      <c r="N50" s="126"/>
    </row>
    <row r="51" spans="8:12" ht="15" customHeight="1">
      <c r="H51" s="142"/>
      <c r="K51" s="151"/>
      <c r="L51" s="153"/>
    </row>
    <row r="52" spans="8:12" ht="15" customHeight="1">
      <c r="H52" s="142"/>
      <c r="K52" s="153"/>
      <c r="L52" s="151"/>
    </row>
    <row r="53" spans="3:12" ht="15" customHeight="1">
      <c r="C53" s="460"/>
      <c r="D53" s="136"/>
      <c r="E53" s="136"/>
      <c r="H53" s="149"/>
      <c r="K53" s="151"/>
      <c r="L53" s="151"/>
    </row>
    <row r="54" spans="3:12" ht="15" customHeight="1">
      <c r="C54" s="460"/>
      <c r="D54" s="136"/>
      <c r="E54" s="136"/>
      <c r="F54" s="136"/>
      <c r="G54" s="136"/>
      <c r="K54" s="151"/>
      <c r="L54" s="151"/>
    </row>
    <row r="55" spans="2:12" ht="15" customHeight="1">
      <c r="B55" s="154"/>
      <c r="C55" s="136"/>
      <c r="D55" s="136"/>
      <c r="E55" s="136"/>
      <c r="F55" s="136"/>
      <c r="G55" s="136"/>
      <c r="K55" s="153"/>
      <c r="L55" s="153"/>
    </row>
    <row r="56" spans="2:14" ht="18">
      <c r="B56" s="154"/>
      <c r="C56" s="154"/>
      <c r="D56" s="154"/>
      <c r="E56" s="154"/>
      <c r="F56" s="238"/>
      <c r="G56" s="239"/>
      <c r="H56" s="149"/>
      <c r="I56" s="154"/>
      <c r="J56" s="154"/>
      <c r="K56" s="151"/>
      <c r="L56" s="151"/>
      <c r="M56" s="154"/>
      <c r="N56" s="154"/>
    </row>
    <row r="57" spans="2:14" ht="18">
      <c r="B57" s="154"/>
      <c r="C57" s="154"/>
      <c r="D57" s="154"/>
      <c r="E57" s="154"/>
      <c r="F57" s="238"/>
      <c r="G57" s="239"/>
      <c r="H57" s="146"/>
      <c r="I57" s="154"/>
      <c r="J57" s="154"/>
      <c r="K57" s="153"/>
      <c r="L57" s="151"/>
      <c r="M57" s="154"/>
      <c r="N57" s="154"/>
    </row>
    <row r="58" spans="2:14" ht="18">
      <c r="B58" s="154"/>
      <c r="C58" s="154"/>
      <c r="D58" s="154"/>
      <c r="E58" s="154"/>
      <c r="F58" s="238"/>
      <c r="G58" s="239"/>
      <c r="H58" s="149"/>
      <c r="I58" s="154"/>
      <c r="J58" s="154"/>
      <c r="K58" s="151"/>
      <c r="L58" s="153"/>
      <c r="M58" s="154"/>
      <c r="N58" s="154"/>
    </row>
    <row r="59" spans="2:14" ht="18">
      <c r="B59" s="154"/>
      <c r="C59" s="154"/>
      <c r="D59" s="154"/>
      <c r="E59" s="154"/>
      <c r="F59" s="238"/>
      <c r="G59" s="239"/>
      <c r="H59" s="239"/>
      <c r="I59" s="239"/>
      <c r="J59" s="154"/>
      <c r="K59" s="151"/>
      <c r="L59" s="151"/>
      <c r="M59" s="154"/>
      <c r="N59" s="154"/>
    </row>
    <row r="60" spans="2:14" ht="18">
      <c r="B60" s="154"/>
      <c r="C60" s="154"/>
      <c r="D60" s="154"/>
      <c r="E60" s="154"/>
      <c r="F60" s="238"/>
      <c r="G60" s="239"/>
      <c r="I60" s="154"/>
      <c r="J60" s="154"/>
      <c r="K60" s="151"/>
      <c r="L60" s="151"/>
      <c r="M60" s="154"/>
      <c r="N60" s="154"/>
    </row>
    <row r="61" spans="2:14" ht="18">
      <c r="B61" s="154"/>
      <c r="C61" s="154"/>
      <c r="D61" s="154"/>
      <c r="E61" s="154"/>
      <c r="F61" s="238"/>
      <c r="G61" s="239"/>
      <c r="H61" s="142"/>
      <c r="I61" s="154"/>
      <c r="J61" s="154"/>
      <c r="K61" s="151"/>
      <c r="L61" s="151"/>
      <c r="M61" s="154"/>
      <c r="N61" s="154"/>
    </row>
    <row r="62" spans="3:14" ht="18">
      <c r="C62" s="154"/>
      <c r="D62" s="154"/>
      <c r="E62" s="154"/>
      <c r="F62" s="237"/>
      <c r="G62" s="237"/>
      <c r="H62" s="142"/>
      <c r="I62" s="154"/>
      <c r="J62" s="154"/>
      <c r="K62" s="153"/>
      <c r="L62" s="151"/>
      <c r="M62" s="154"/>
      <c r="N62" s="154"/>
    </row>
    <row r="63" spans="11:12" ht="15">
      <c r="K63" s="152"/>
      <c r="L63" s="151"/>
    </row>
    <row r="64" spans="8:12" ht="15">
      <c r="H64" s="142"/>
      <c r="K64" s="153"/>
      <c r="L64" s="153"/>
    </row>
    <row r="65" spans="11:12" ht="15">
      <c r="K65" s="151"/>
      <c r="L65" s="152"/>
    </row>
    <row r="66" spans="8:12" ht="15">
      <c r="H66" s="146"/>
      <c r="K66" s="151"/>
      <c r="L66" s="153"/>
    </row>
    <row r="67" spans="11:12" ht="15">
      <c r="K67" s="151"/>
      <c r="L67" s="151"/>
    </row>
    <row r="68" spans="11:12" ht="15">
      <c r="K68" s="151"/>
      <c r="L68" s="153"/>
    </row>
    <row r="69" spans="8:12" ht="15">
      <c r="H69" s="146"/>
      <c r="K69" s="151"/>
      <c r="L69" s="151"/>
    </row>
    <row r="70" spans="8:12" ht="15">
      <c r="H70" s="146"/>
      <c r="K70" s="151"/>
      <c r="L70" s="152"/>
    </row>
    <row r="71" spans="11:12" ht="15">
      <c r="K71" s="151"/>
      <c r="L71" s="151"/>
    </row>
    <row r="72" spans="8:12" ht="15">
      <c r="H72" s="149"/>
      <c r="K72" s="153"/>
      <c r="L72" s="153"/>
    </row>
    <row r="73" spans="8:12" ht="15">
      <c r="H73" s="142"/>
      <c r="K73" s="151"/>
      <c r="L73" s="151"/>
    </row>
    <row r="74" spans="8:12" ht="15">
      <c r="H74" s="142"/>
      <c r="K74" s="153"/>
      <c r="L74" s="151"/>
    </row>
  </sheetData>
  <sheetProtection/>
  <mergeCells count="14">
    <mergeCell ref="I8:N8"/>
    <mergeCell ref="O8:P8"/>
    <mergeCell ref="P9:P10"/>
    <mergeCell ref="O9:O10"/>
    <mergeCell ref="E9:E10"/>
    <mergeCell ref="G9:H9"/>
    <mergeCell ref="J9:J10"/>
    <mergeCell ref="M9:N9"/>
    <mergeCell ref="A8:A10"/>
    <mergeCell ref="B8:B10"/>
    <mergeCell ref="C53:C54"/>
    <mergeCell ref="D9:D10"/>
    <mergeCell ref="C9:C10"/>
    <mergeCell ref="C8:H8"/>
  </mergeCells>
  <conditionalFormatting sqref="C11:C36">
    <cfRule type="top10" priority="50" dxfId="3" stopIfTrue="1" rank="5" bottom="1"/>
    <cfRule type="top10" priority="51" dxfId="0" stopIfTrue="1" rank="5"/>
  </conditionalFormatting>
  <conditionalFormatting sqref="G36">
    <cfRule type="top10" priority="49" dxfId="0" stopIfTrue="1" rank="5"/>
  </conditionalFormatting>
  <conditionalFormatting sqref="J36">
    <cfRule type="top10" priority="47" dxfId="1" stopIfTrue="1" rank="1"/>
    <cfRule type="top10" priority="48" dxfId="0" stopIfTrue="1" rank="5"/>
  </conditionalFormatting>
  <conditionalFormatting sqref="M11:M36">
    <cfRule type="top10" priority="45" dxfId="3" stopIfTrue="1" rank="5" bottom="1"/>
    <cfRule type="top10" priority="46" dxfId="0" stopIfTrue="1" rank="5"/>
  </conditionalFormatting>
  <conditionalFormatting sqref="N11:N36">
    <cfRule type="top10" priority="43" dxfId="3" stopIfTrue="1" rank="5" bottom="1"/>
    <cfRule type="top10" priority="44" dxfId="0" stopIfTrue="1" rank="5"/>
  </conditionalFormatting>
  <conditionalFormatting sqref="O11:O36">
    <cfRule type="top10" priority="41" dxfId="3" stopIfTrue="1" rank="5" bottom="1"/>
    <cfRule type="top10" priority="42" dxfId="0" stopIfTrue="1" rank="5"/>
  </conditionalFormatting>
  <conditionalFormatting sqref="G11:G36">
    <cfRule type="top10" priority="39" dxfId="3" stopIfTrue="1" rank="5" bottom="1"/>
    <cfRule type="top10" priority="40" dxfId="0" stopIfTrue="1" rank="5"/>
  </conditionalFormatting>
  <conditionalFormatting sqref="H11:H36">
    <cfRule type="top10" priority="37" dxfId="3" stopIfTrue="1" rank="5" bottom="1"/>
    <cfRule type="top10" priority="38" dxfId="0" stopIfTrue="1" rank="5"/>
  </conditionalFormatting>
  <conditionalFormatting sqref="O11:P36">
    <cfRule type="top10" priority="35" dxfId="3" stopIfTrue="1" rank="5" bottom="1"/>
    <cfRule type="top10" priority="36" dxfId="0" stopIfTrue="1" rank="5"/>
  </conditionalFormatting>
  <conditionalFormatting sqref="Z11:Z36">
    <cfRule type="top10" priority="13" dxfId="1" stopIfTrue="1" rank="10"/>
    <cfRule type="top10" priority="14" dxfId="0" stopIfTrue="1" rank="5"/>
  </conditionalFormatting>
  <conditionalFormatting sqref="J36:K36 H36">
    <cfRule type="top10" priority="17" dxfId="1" stopIfTrue="1" rank="1"/>
    <cfRule type="top10" priority="18" dxfId="0" stopIfTrue="1" rank="5"/>
  </conditionalFormatting>
  <conditionalFormatting sqref="K11:K36 AC11:AC36">
    <cfRule type="top10" priority="15" dxfId="3" stopIfTrue="1" rank="5" bottom="1"/>
    <cfRule type="top10" priority="16" dxfId="0" stopIfTrue="1" rank="5"/>
  </conditionalFormatting>
  <conditionalFormatting sqref="M11:M13 M34:M36 M21:M32 M15:M18">
    <cfRule type="top10" priority="3" dxfId="0" stopIfTrue="1" rank="5"/>
  </conditionalFormatting>
  <printOptions/>
  <pageMargins left="0.5118110236220472" right="0.5118110236220472" top="0.5118110236220472" bottom="0.5118110236220472" header="0.31496062992125984" footer="0.31496062992125984"/>
  <pageSetup horizontalDpi="600" verticalDpi="600" orientation="landscape" scale="68" r:id="rId1"/>
  <rowBreaks count="1" manualBreakCount="1">
    <brk id="38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14"/>
  <sheetViews>
    <sheetView workbookViewId="0" topLeftCell="A1">
      <selection activeCell="H69" sqref="H69"/>
    </sheetView>
  </sheetViews>
  <sheetFormatPr defaultColWidth="7.8515625" defaultRowHeight="12.75"/>
  <cols>
    <col min="1" max="1" width="5.7109375" style="142" customWidth="1"/>
    <col min="2" max="2" width="15.8515625" style="142" customWidth="1"/>
    <col min="3" max="3" width="18.28125" style="142" customWidth="1"/>
    <col min="4" max="4" width="26.421875" style="142" customWidth="1"/>
    <col min="5" max="5" width="24.140625" style="142" customWidth="1"/>
    <col min="6" max="6" width="26.140625" style="265" customWidth="1"/>
    <col min="7" max="7" width="12.8515625" style="142" customWidth="1"/>
    <col min="8" max="8" width="12.57421875" style="142" customWidth="1"/>
    <col min="9" max="9" width="13.00390625" style="142" customWidth="1"/>
    <col min="10" max="11" width="13.421875" style="142" bestFit="1" customWidth="1"/>
    <col min="12" max="13" width="14.7109375" style="142" bestFit="1" customWidth="1"/>
    <col min="14" max="14" width="11.140625" style="142" customWidth="1"/>
    <col min="15" max="15" width="11.57421875" style="142" customWidth="1"/>
    <col min="16" max="16384" width="7.8515625" style="142" customWidth="1"/>
  </cols>
  <sheetData>
    <row r="1" spans="2:6" ht="18" customHeight="1">
      <c r="B1" s="134"/>
      <c r="C1" s="134"/>
      <c r="D1" s="134"/>
      <c r="E1" s="471" t="s">
        <v>134</v>
      </c>
      <c r="F1" s="471"/>
    </row>
    <row r="2" spans="1:6" ht="16.5" customHeight="1">
      <c r="A2" s="133" t="s">
        <v>191</v>
      </c>
      <c r="C2" s="133"/>
      <c r="D2" s="133"/>
      <c r="E2" s="134"/>
      <c r="F2" s="134"/>
    </row>
    <row r="3" spans="1:6" ht="9" customHeight="1" thickBot="1">
      <c r="A3" s="134"/>
      <c r="B3" s="134"/>
      <c r="C3" s="134"/>
      <c r="D3" s="134"/>
      <c r="E3" s="134"/>
      <c r="F3" s="134"/>
    </row>
    <row r="4" spans="1:6" ht="35.25" customHeight="1" thickBot="1">
      <c r="A4" s="268" t="s">
        <v>18</v>
      </c>
      <c r="B4" s="269" t="s">
        <v>120</v>
      </c>
      <c r="C4" s="269" t="s">
        <v>121</v>
      </c>
      <c r="D4" s="311">
        <v>41000</v>
      </c>
      <c r="E4" s="311">
        <v>41030</v>
      </c>
      <c r="F4" s="270" t="s">
        <v>2</v>
      </c>
    </row>
    <row r="5" spans="1:6" ht="18" customHeight="1">
      <c r="A5" s="486">
        <v>1</v>
      </c>
      <c r="B5" s="478" t="s">
        <v>39</v>
      </c>
      <c r="C5" s="271" t="s">
        <v>122</v>
      </c>
      <c r="D5" s="377">
        <v>98</v>
      </c>
      <c r="E5" s="272">
        <f>'May 12(2)'!AE7</f>
        <v>54</v>
      </c>
      <c r="F5" s="273">
        <f>SUM(D5:E5)</f>
        <v>152</v>
      </c>
    </row>
    <row r="6" spans="1:6" ht="18" customHeight="1">
      <c r="A6" s="487"/>
      <c r="B6" s="479"/>
      <c r="C6" s="257" t="s">
        <v>123</v>
      </c>
      <c r="D6" s="378">
        <v>377</v>
      </c>
      <c r="E6" s="261">
        <f>'May 12(2)'!S7</f>
        <v>555</v>
      </c>
      <c r="F6" s="274">
        <f aca="true" t="shared" si="0" ref="F6:F69">SUM(D6:E6)</f>
        <v>932</v>
      </c>
    </row>
    <row r="7" spans="1:6" ht="18" customHeight="1" thickBot="1">
      <c r="A7" s="488"/>
      <c r="B7" s="480"/>
      <c r="C7" s="275" t="s">
        <v>124</v>
      </c>
      <c r="D7" s="379">
        <v>-279</v>
      </c>
      <c r="E7" s="276">
        <f>E5-E6</f>
        <v>-501</v>
      </c>
      <c r="F7" s="277">
        <f t="shared" si="0"/>
        <v>-780</v>
      </c>
    </row>
    <row r="8" spans="1:6" ht="18" customHeight="1">
      <c r="A8" s="489">
        <v>2</v>
      </c>
      <c r="B8" s="478" t="s">
        <v>65</v>
      </c>
      <c r="C8" s="271" t="s">
        <v>122</v>
      </c>
      <c r="D8" s="377">
        <v>13812</v>
      </c>
      <c r="E8" s="272">
        <f>'May 12(2)'!AE8</f>
        <v>16924</v>
      </c>
      <c r="F8" s="273">
        <f t="shared" si="0"/>
        <v>30736</v>
      </c>
    </row>
    <row r="9" spans="1:6" ht="18" customHeight="1">
      <c r="A9" s="490"/>
      <c r="B9" s="479"/>
      <c r="C9" s="257" t="s">
        <v>123</v>
      </c>
      <c r="D9" s="378">
        <v>27780</v>
      </c>
      <c r="E9" s="261">
        <f>'May 12(2)'!S8</f>
        <v>37170</v>
      </c>
      <c r="F9" s="274">
        <f t="shared" si="0"/>
        <v>64950</v>
      </c>
    </row>
    <row r="10" spans="1:6" ht="18" customHeight="1" thickBot="1">
      <c r="A10" s="491"/>
      <c r="B10" s="480"/>
      <c r="C10" s="275" t="s">
        <v>124</v>
      </c>
      <c r="D10" s="379">
        <v>-13968</v>
      </c>
      <c r="E10" s="276">
        <f>E8-E9</f>
        <v>-20246</v>
      </c>
      <c r="F10" s="277">
        <f t="shared" si="0"/>
        <v>-34214</v>
      </c>
    </row>
    <row r="11" spans="1:6" ht="18" customHeight="1">
      <c r="A11" s="489">
        <v>3</v>
      </c>
      <c r="B11" s="478" t="s">
        <v>3</v>
      </c>
      <c r="C11" s="271" t="s">
        <v>122</v>
      </c>
      <c r="D11" s="377">
        <v>789</v>
      </c>
      <c r="E11" s="272">
        <f>'May 12(2)'!AE9</f>
        <v>1010</v>
      </c>
      <c r="F11" s="273">
        <f t="shared" si="0"/>
        <v>1799</v>
      </c>
    </row>
    <row r="12" spans="1:6" ht="18" customHeight="1">
      <c r="A12" s="490"/>
      <c r="B12" s="479"/>
      <c r="C12" s="257" t="s">
        <v>123</v>
      </c>
      <c r="D12" s="378">
        <v>2408</v>
      </c>
      <c r="E12" s="261">
        <f>'May 12(2)'!S9</f>
        <v>25787</v>
      </c>
      <c r="F12" s="274">
        <f t="shared" si="0"/>
        <v>28195</v>
      </c>
    </row>
    <row r="13" spans="1:6" ht="18" customHeight="1" thickBot="1">
      <c r="A13" s="491"/>
      <c r="B13" s="480"/>
      <c r="C13" s="275" t="s">
        <v>124</v>
      </c>
      <c r="D13" s="379">
        <v>-1619</v>
      </c>
      <c r="E13" s="276">
        <f>E11-E12</f>
        <v>-24777</v>
      </c>
      <c r="F13" s="277">
        <f t="shared" si="0"/>
        <v>-26396</v>
      </c>
    </row>
    <row r="14" spans="1:6" ht="18" customHeight="1">
      <c r="A14" s="489">
        <v>4</v>
      </c>
      <c r="B14" s="478" t="s">
        <v>31</v>
      </c>
      <c r="C14" s="271" t="s">
        <v>122</v>
      </c>
      <c r="D14" s="377">
        <v>1363</v>
      </c>
      <c r="E14" s="272">
        <f>'May 12(2)'!AE10</f>
        <v>1855</v>
      </c>
      <c r="F14" s="273">
        <f t="shared" si="0"/>
        <v>3218</v>
      </c>
    </row>
    <row r="15" spans="1:6" ht="18" customHeight="1">
      <c r="A15" s="490"/>
      <c r="B15" s="479"/>
      <c r="C15" s="257" t="s">
        <v>123</v>
      </c>
      <c r="D15" s="378">
        <v>1537</v>
      </c>
      <c r="E15" s="261">
        <f>'May 12(2)'!S10</f>
        <v>1180</v>
      </c>
      <c r="F15" s="274">
        <f t="shared" si="0"/>
        <v>2717</v>
      </c>
    </row>
    <row r="16" spans="1:6" ht="18" customHeight="1" thickBot="1">
      <c r="A16" s="491"/>
      <c r="B16" s="480"/>
      <c r="C16" s="275" t="s">
        <v>124</v>
      </c>
      <c r="D16" s="379">
        <v>-174</v>
      </c>
      <c r="E16" s="276">
        <f>E14-E15</f>
        <v>675</v>
      </c>
      <c r="F16" s="277">
        <f t="shared" si="0"/>
        <v>501</v>
      </c>
    </row>
    <row r="17" spans="1:6" ht="18" customHeight="1">
      <c r="A17" s="489">
        <v>5</v>
      </c>
      <c r="B17" s="478" t="s">
        <v>5</v>
      </c>
      <c r="C17" s="271" t="s">
        <v>122</v>
      </c>
      <c r="D17" s="377">
        <v>686</v>
      </c>
      <c r="E17" s="272">
        <f>'May 12(2)'!AE11</f>
        <v>902</v>
      </c>
      <c r="F17" s="273">
        <f t="shared" si="0"/>
        <v>1588</v>
      </c>
    </row>
    <row r="18" spans="1:8" ht="18" customHeight="1">
      <c r="A18" s="490"/>
      <c r="B18" s="479"/>
      <c r="C18" s="257" t="s">
        <v>123</v>
      </c>
      <c r="D18" s="378">
        <v>1979</v>
      </c>
      <c r="E18" s="261">
        <f>'May 12(2)'!S11</f>
        <v>1546</v>
      </c>
      <c r="F18" s="274">
        <f t="shared" si="0"/>
        <v>3525</v>
      </c>
      <c r="H18" s="264"/>
    </row>
    <row r="19" spans="1:8" ht="18" customHeight="1" thickBot="1">
      <c r="A19" s="491"/>
      <c r="B19" s="480"/>
      <c r="C19" s="275" t="s">
        <v>124</v>
      </c>
      <c r="D19" s="379">
        <v>-1293</v>
      </c>
      <c r="E19" s="276">
        <f>E17-E18</f>
        <v>-644</v>
      </c>
      <c r="F19" s="277">
        <f t="shared" si="0"/>
        <v>-1937</v>
      </c>
      <c r="H19" s="264"/>
    </row>
    <row r="20" spans="1:8" ht="18" customHeight="1">
      <c r="A20" s="489">
        <v>6</v>
      </c>
      <c r="B20" s="478" t="s">
        <v>32</v>
      </c>
      <c r="C20" s="271" t="s">
        <v>122</v>
      </c>
      <c r="D20" s="377">
        <v>5476</v>
      </c>
      <c r="E20" s="272">
        <f>'May 12(2)'!AE12</f>
        <v>6417</v>
      </c>
      <c r="F20" s="273">
        <f t="shared" si="0"/>
        <v>11893</v>
      </c>
      <c r="H20" s="264"/>
    </row>
    <row r="21" spans="1:8" ht="18" customHeight="1">
      <c r="A21" s="490"/>
      <c r="B21" s="479"/>
      <c r="C21" s="257" t="s">
        <v>123</v>
      </c>
      <c r="D21" s="378">
        <v>9908</v>
      </c>
      <c r="E21" s="261">
        <f>'May 12(2)'!S12</f>
        <v>12072</v>
      </c>
      <c r="F21" s="274">
        <f t="shared" si="0"/>
        <v>21980</v>
      </c>
      <c r="H21" s="264"/>
    </row>
    <row r="22" spans="1:8" ht="18" customHeight="1" thickBot="1">
      <c r="A22" s="491"/>
      <c r="B22" s="480"/>
      <c r="C22" s="275" t="s">
        <v>124</v>
      </c>
      <c r="D22" s="379">
        <v>-4432</v>
      </c>
      <c r="E22" s="276">
        <f>E20-E21</f>
        <v>-5655</v>
      </c>
      <c r="F22" s="277">
        <f t="shared" si="0"/>
        <v>-10087</v>
      </c>
      <c r="H22" s="264"/>
    </row>
    <row r="23" spans="1:8" ht="18" customHeight="1">
      <c r="A23" s="489">
        <v>7</v>
      </c>
      <c r="B23" s="478" t="s">
        <v>66</v>
      </c>
      <c r="C23" s="271" t="s">
        <v>122</v>
      </c>
      <c r="D23" s="377">
        <v>2610</v>
      </c>
      <c r="E23" s="272">
        <f>'May 12(2)'!AE13</f>
        <v>2969</v>
      </c>
      <c r="F23" s="273">
        <f t="shared" si="0"/>
        <v>5579</v>
      </c>
      <c r="H23" s="264"/>
    </row>
    <row r="24" spans="1:8" ht="18" customHeight="1">
      <c r="A24" s="490"/>
      <c r="B24" s="479"/>
      <c r="C24" s="257" t="s">
        <v>123</v>
      </c>
      <c r="D24" s="378">
        <v>6488</v>
      </c>
      <c r="E24" s="261">
        <f>'May 12(2)'!S13</f>
        <v>6418</v>
      </c>
      <c r="F24" s="274">
        <f t="shared" si="0"/>
        <v>12906</v>
      </c>
      <c r="H24" s="264"/>
    </row>
    <row r="25" spans="1:8" ht="18" customHeight="1" thickBot="1">
      <c r="A25" s="491"/>
      <c r="B25" s="480"/>
      <c r="C25" s="275" t="s">
        <v>124</v>
      </c>
      <c r="D25" s="379">
        <v>-3878</v>
      </c>
      <c r="E25" s="276">
        <f>E23-E24</f>
        <v>-3449</v>
      </c>
      <c r="F25" s="277">
        <f t="shared" si="0"/>
        <v>-7327</v>
      </c>
      <c r="H25" s="264"/>
    </row>
    <row r="26" spans="1:6" ht="18" customHeight="1">
      <c r="A26" s="489">
        <v>8</v>
      </c>
      <c r="B26" s="478" t="s">
        <v>125</v>
      </c>
      <c r="C26" s="271" t="s">
        <v>122</v>
      </c>
      <c r="D26" s="377">
        <v>440</v>
      </c>
      <c r="E26" s="272">
        <f>'May 12(2)'!AE14</f>
        <v>854</v>
      </c>
      <c r="F26" s="273">
        <f t="shared" si="0"/>
        <v>1294</v>
      </c>
    </row>
    <row r="27" spans="1:6" ht="18" customHeight="1">
      <c r="A27" s="490"/>
      <c r="B27" s="479"/>
      <c r="C27" s="257" t="s">
        <v>123</v>
      </c>
      <c r="D27" s="378">
        <v>2013</v>
      </c>
      <c r="E27" s="261">
        <f>'May 12(2)'!S14</f>
        <v>2904</v>
      </c>
      <c r="F27" s="274">
        <f t="shared" si="0"/>
        <v>4917</v>
      </c>
    </row>
    <row r="28" spans="1:6" ht="18" customHeight="1" thickBot="1">
      <c r="A28" s="491"/>
      <c r="B28" s="480"/>
      <c r="C28" s="275" t="s">
        <v>124</v>
      </c>
      <c r="D28" s="379">
        <v>-1573</v>
      </c>
      <c r="E28" s="276">
        <f>E26-E27</f>
        <v>-2050</v>
      </c>
      <c r="F28" s="277">
        <f t="shared" si="0"/>
        <v>-3623</v>
      </c>
    </row>
    <row r="29" spans="1:8" ht="18" customHeight="1">
      <c r="A29" s="489">
        <v>9</v>
      </c>
      <c r="B29" s="478" t="s">
        <v>33</v>
      </c>
      <c r="C29" s="271" t="s">
        <v>122</v>
      </c>
      <c r="D29" s="377">
        <v>1634</v>
      </c>
      <c r="E29" s="272">
        <f>'May 12(2)'!AE15</f>
        <v>1432</v>
      </c>
      <c r="F29" s="273">
        <f t="shared" si="0"/>
        <v>3066</v>
      </c>
      <c r="H29" s="264"/>
    </row>
    <row r="30" spans="1:8" ht="18" customHeight="1">
      <c r="A30" s="490"/>
      <c r="B30" s="479"/>
      <c r="C30" s="257" t="s">
        <v>123</v>
      </c>
      <c r="D30" s="378">
        <v>1670</v>
      </c>
      <c r="E30" s="261">
        <f>'May 12(2)'!S15</f>
        <v>1756</v>
      </c>
      <c r="F30" s="274">
        <f t="shared" si="0"/>
        <v>3426</v>
      </c>
      <c r="H30" s="264"/>
    </row>
    <row r="31" spans="1:8" ht="18" customHeight="1" thickBot="1">
      <c r="A31" s="491"/>
      <c r="B31" s="480"/>
      <c r="C31" s="275" t="s">
        <v>124</v>
      </c>
      <c r="D31" s="379">
        <v>-36</v>
      </c>
      <c r="E31" s="276">
        <f>E29-E30</f>
        <v>-324</v>
      </c>
      <c r="F31" s="277">
        <f t="shared" si="0"/>
        <v>-360</v>
      </c>
      <c r="H31" s="264"/>
    </row>
    <row r="32" spans="1:8" ht="18" customHeight="1">
      <c r="A32" s="489">
        <v>10</v>
      </c>
      <c r="B32" s="478" t="s">
        <v>6</v>
      </c>
      <c r="C32" s="271" t="s">
        <v>122</v>
      </c>
      <c r="D32" s="377">
        <v>0</v>
      </c>
      <c r="E32" s="272">
        <f>'May 12(2)'!AE16</f>
        <v>30383</v>
      </c>
      <c r="F32" s="273">
        <f t="shared" si="0"/>
        <v>30383</v>
      </c>
      <c r="H32" s="264"/>
    </row>
    <row r="33" spans="1:8" ht="18" customHeight="1">
      <c r="A33" s="490"/>
      <c r="B33" s="479"/>
      <c r="C33" s="257" t="s">
        <v>123</v>
      </c>
      <c r="D33" s="378">
        <v>24388</v>
      </c>
      <c r="E33" s="261">
        <f>'May 12(2)'!S16</f>
        <v>53740</v>
      </c>
      <c r="F33" s="274">
        <f t="shared" si="0"/>
        <v>78128</v>
      </c>
      <c r="H33" s="264"/>
    </row>
    <row r="34" spans="1:8" ht="18" customHeight="1" thickBot="1">
      <c r="A34" s="491"/>
      <c r="B34" s="480"/>
      <c r="C34" s="275" t="s">
        <v>124</v>
      </c>
      <c r="D34" s="379">
        <v>-24388</v>
      </c>
      <c r="E34" s="276">
        <f>E32-E33</f>
        <v>-23357</v>
      </c>
      <c r="F34" s="277">
        <f t="shared" si="0"/>
        <v>-47745</v>
      </c>
      <c r="H34" s="264"/>
    </row>
    <row r="35" spans="1:8" ht="18" customHeight="1">
      <c r="A35" s="489">
        <v>11</v>
      </c>
      <c r="B35" s="478" t="s">
        <v>126</v>
      </c>
      <c r="C35" s="271" t="s">
        <v>122</v>
      </c>
      <c r="D35" s="377">
        <v>7749</v>
      </c>
      <c r="E35" s="272">
        <f>'May 12(2)'!AE17</f>
        <v>17113</v>
      </c>
      <c r="F35" s="273">
        <f t="shared" si="0"/>
        <v>24862</v>
      </c>
      <c r="H35" s="264"/>
    </row>
    <row r="36" spans="1:8" ht="18" customHeight="1">
      <c r="A36" s="490"/>
      <c r="B36" s="479"/>
      <c r="C36" s="257" t="s">
        <v>123</v>
      </c>
      <c r="D36" s="378">
        <v>82031</v>
      </c>
      <c r="E36" s="261">
        <f>'May 12(2)'!S17</f>
        <v>160534</v>
      </c>
      <c r="F36" s="274">
        <f t="shared" si="0"/>
        <v>242565</v>
      </c>
      <c r="H36" s="264"/>
    </row>
    <row r="37" spans="1:8" ht="18" customHeight="1" thickBot="1">
      <c r="A37" s="491"/>
      <c r="B37" s="480"/>
      <c r="C37" s="275" t="s">
        <v>124</v>
      </c>
      <c r="D37" s="379">
        <v>-74282</v>
      </c>
      <c r="E37" s="276">
        <f>E35-E36</f>
        <v>-143421</v>
      </c>
      <c r="F37" s="277">
        <f t="shared" si="0"/>
        <v>-217703</v>
      </c>
      <c r="H37" s="264"/>
    </row>
    <row r="38" spans="1:8" ht="18" customHeight="1">
      <c r="A38" s="489">
        <v>12</v>
      </c>
      <c r="B38" s="478" t="s">
        <v>35</v>
      </c>
      <c r="C38" s="271" t="s">
        <v>122</v>
      </c>
      <c r="D38" s="377">
        <v>5902</v>
      </c>
      <c r="E38" s="272">
        <f>'May 12(2)'!AE18</f>
        <v>7012</v>
      </c>
      <c r="F38" s="273">
        <f t="shared" si="0"/>
        <v>12914</v>
      </c>
      <c r="H38" s="264"/>
    </row>
    <row r="39" spans="1:8" ht="18" customHeight="1">
      <c r="A39" s="490"/>
      <c r="B39" s="479"/>
      <c r="C39" s="257" t="s">
        <v>123</v>
      </c>
      <c r="D39" s="378">
        <v>12035</v>
      </c>
      <c r="E39" s="261">
        <f>'May 12(2)'!S18</f>
        <v>15530</v>
      </c>
      <c r="F39" s="274">
        <f t="shared" si="0"/>
        <v>27565</v>
      </c>
      <c r="H39" s="264"/>
    </row>
    <row r="40" spans="1:8" ht="18" customHeight="1" thickBot="1">
      <c r="A40" s="491"/>
      <c r="B40" s="480"/>
      <c r="C40" s="275" t="s">
        <v>124</v>
      </c>
      <c r="D40" s="379">
        <v>-6133</v>
      </c>
      <c r="E40" s="276">
        <f>E38-E39</f>
        <v>-8518</v>
      </c>
      <c r="F40" s="277">
        <f t="shared" si="0"/>
        <v>-14651</v>
      </c>
      <c r="H40" s="264"/>
    </row>
    <row r="41" spans="1:8" ht="18" customHeight="1">
      <c r="A41" s="489">
        <v>13</v>
      </c>
      <c r="B41" s="478" t="s">
        <v>127</v>
      </c>
      <c r="C41" s="271" t="s">
        <v>122</v>
      </c>
      <c r="D41" s="377">
        <v>2055</v>
      </c>
      <c r="E41" s="272">
        <f>'May 12(2)'!AE19</f>
        <v>2813</v>
      </c>
      <c r="F41" s="273">
        <f t="shared" si="0"/>
        <v>4868</v>
      </c>
      <c r="H41" s="264"/>
    </row>
    <row r="42" spans="1:8" ht="18" customHeight="1">
      <c r="A42" s="490"/>
      <c r="B42" s="479"/>
      <c r="C42" s="257" t="s">
        <v>123</v>
      </c>
      <c r="D42" s="378">
        <v>5451</v>
      </c>
      <c r="E42" s="261">
        <f>'May 12(2)'!S19</f>
        <v>7169</v>
      </c>
      <c r="F42" s="274">
        <f t="shared" si="0"/>
        <v>12620</v>
      </c>
      <c r="H42" s="264"/>
    </row>
    <row r="43" spans="1:8" ht="18" customHeight="1" thickBot="1">
      <c r="A43" s="491"/>
      <c r="B43" s="480"/>
      <c r="C43" s="275" t="s">
        <v>124</v>
      </c>
      <c r="D43" s="379">
        <v>-3396</v>
      </c>
      <c r="E43" s="276">
        <f>E41-E42</f>
        <v>-4356</v>
      </c>
      <c r="F43" s="277">
        <f t="shared" si="0"/>
        <v>-7752</v>
      </c>
      <c r="H43" s="264"/>
    </row>
    <row r="44" spans="1:8" ht="18" customHeight="1">
      <c r="A44" s="489">
        <v>14</v>
      </c>
      <c r="B44" s="478" t="s">
        <v>36</v>
      </c>
      <c r="C44" s="271" t="s">
        <v>122</v>
      </c>
      <c r="D44" s="377">
        <v>7453</v>
      </c>
      <c r="E44" s="272">
        <f>'May 12(2)'!AE20</f>
        <v>8341</v>
      </c>
      <c r="F44" s="273">
        <f t="shared" si="0"/>
        <v>15794</v>
      </c>
      <c r="H44" s="264"/>
    </row>
    <row r="45" spans="1:8" ht="18" customHeight="1">
      <c r="A45" s="490"/>
      <c r="B45" s="479"/>
      <c r="C45" s="257" t="s">
        <v>123</v>
      </c>
      <c r="D45" s="378">
        <v>13965</v>
      </c>
      <c r="E45" s="261">
        <f>'May 12(2)'!S20</f>
        <v>16076</v>
      </c>
      <c r="F45" s="274">
        <f t="shared" si="0"/>
        <v>30041</v>
      </c>
      <c r="H45" s="264"/>
    </row>
    <row r="46" spans="1:8" ht="18" customHeight="1" thickBot="1">
      <c r="A46" s="491"/>
      <c r="B46" s="480"/>
      <c r="C46" s="275" t="s">
        <v>124</v>
      </c>
      <c r="D46" s="379">
        <v>-6512</v>
      </c>
      <c r="E46" s="276">
        <f>E44-E45</f>
        <v>-7735</v>
      </c>
      <c r="F46" s="277">
        <f t="shared" si="0"/>
        <v>-14247</v>
      </c>
      <c r="H46" s="264"/>
    </row>
    <row r="47" spans="1:8" ht="18" customHeight="1">
      <c r="A47" s="489">
        <v>15</v>
      </c>
      <c r="B47" s="478" t="s">
        <v>13</v>
      </c>
      <c r="C47" s="271" t="s">
        <v>122</v>
      </c>
      <c r="D47" s="377">
        <v>568</v>
      </c>
      <c r="E47" s="272">
        <f>'May 12(2)'!AE21</f>
        <v>330</v>
      </c>
      <c r="F47" s="273">
        <f t="shared" si="0"/>
        <v>898</v>
      </c>
      <c r="H47" s="264"/>
    </row>
    <row r="48" spans="1:6" ht="18" customHeight="1">
      <c r="A48" s="492"/>
      <c r="B48" s="484"/>
      <c r="C48" s="257" t="s">
        <v>123</v>
      </c>
      <c r="D48" s="378">
        <v>868</v>
      </c>
      <c r="E48" s="261">
        <f>'May 12(2)'!S21</f>
        <v>583</v>
      </c>
      <c r="F48" s="274">
        <f t="shared" si="0"/>
        <v>1451</v>
      </c>
    </row>
    <row r="49" spans="1:6" ht="18" customHeight="1" thickBot="1">
      <c r="A49" s="493"/>
      <c r="B49" s="485"/>
      <c r="C49" s="275" t="s">
        <v>124</v>
      </c>
      <c r="D49" s="379">
        <v>-300</v>
      </c>
      <c r="E49" s="276">
        <f>E47-E48</f>
        <v>-253</v>
      </c>
      <c r="F49" s="277">
        <f t="shared" si="0"/>
        <v>-553</v>
      </c>
    </row>
    <row r="50" spans="1:6" ht="18" customHeight="1">
      <c r="A50" s="489">
        <v>16</v>
      </c>
      <c r="B50" s="478" t="s">
        <v>12</v>
      </c>
      <c r="C50" s="271" t="s">
        <v>122</v>
      </c>
      <c r="D50" s="377">
        <v>327</v>
      </c>
      <c r="E50" s="272">
        <f>'May 12(2)'!AE22</f>
        <v>319</v>
      </c>
      <c r="F50" s="273">
        <f t="shared" si="0"/>
        <v>646</v>
      </c>
    </row>
    <row r="51" spans="1:6" ht="18" customHeight="1">
      <c r="A51" s="490"/>
      <c r="B51" s="479"/>
      <c r="C51" s="257" t="s">
        <v>123</v>
      </c>
      <c r="D51" s="378">
        <v>197</v>
      </c>
      <c r="E51" s="261">
        <f>'May 12(2)'!S22</f>
        <v>227</v>
      </c>
      <c r="F51" s="274">
        <f t="shared" si="0"/>
        <v>424</v>
      </c>
    </row>
    <row r="52" spans="1:6" ht="18" customHeight="1" thickBot="1">
      <c r="A52" s="491"/>
      <c r="B52" s="480"/>
      <c r="C52" s="275" t="s">
        <v>124</v>
      </c>
      <c r="D52" s="379">
        <v>130</v>
      </c>
      <c r="E52" s="276">
        <f>E50-E51</f>
        <v>92</v>
      </c>
      <c r="F52" s="277">
        <f t="shared" si="0"/>
        <v>222</v>
      </c>
    </row>
    <row r="53" spans="1:6" ht="18" customHeight="1">
      <c r="A53" s="489">
        <v>17</v>
      </c>
      <c r="B53" s="478" t="s">
        <v>69</v>
      </c>
      <c r="C53" s="271" t="s">
        <v>122</v>
      </c>
      <c r="D53" s="377">
        <v>0</v>
      </c>
      <c r="E53" s="272">
        <f>'May 12(2)'!AE23</f>
        <v>1932</v>
      </c>
      <c r="F53" s="273">
        <f t="shared" si="0"/>
        <v>1932</v>
      </c>
    </row>
    <row r="54" spans="1:6" ht="18" customHeight="1">
      <c r="A54" s="490"/>
      <c r="B54" s="479"/>
      <c r="C54" s="257" t="s">
        <v>123</v>
      </c>
      <c r="D54" s="378">
        <v>52821</v>
      </c>
      <c r="E54" s="261">
        <f>'May 12(2)'!S23</f>
        <v>15931</v>
      </c>
      <c r="F54" s="274">
        <f t="shared" si="0"/>
        <v>68752</v>
      </c>
    </row>
    <row r="55" spans="1:6" ht="18" customHeight="1" thickBot="1">
      <c r="A55" s="491"/>
      <c r="B55" s="480"/>
      <c r="C55" s="275" t="s">
        <v>124</v>
      </c>
      <c r="D55" s="379">
        <v>-52821</v>
      </c>
      <c r="E55" s="276">
        <f>E53-E54</f>
        <v>-13999</v>
      </c>
      <c r="F55" s="277">
        <f t="shared" si="0"/>
        <v>-66820</v>
      </c>
    </row>
    <row r="56" spans="1:6" ht="18" customHeight="1">
      <c r="A56" s="489">
        <v>18</v>
      </c>
      <c r="B56" s="478" t="s">
        <v>37</v>
      </c>
      <c r="C56" s="271" t="s">
        <v>122</v>
      </c>
      <c r="D56" s="377">
        <v>6914</v>
      </c>
      <c r="E56" s="272">
        <f>'May 12(2)'!AE24</f>
        <v>5773</v>
      </c>
      <c r="F56" s="273">
        <f t="shared" si="0"/>
        <v>12687</v>
      </c>
    </row>
    <row r="57" spans="1:6" ht="18" customHeight="1">
      <c r="A57" s="490"/>
      <c r="B57" s="479"/>
      <c r="C57" s="257" t="s">
        <v>123</v>
      </c>
      <c r="D57" s="378">
        <v>10152</v>
      </c>
      <c r="E57" s="261">
        <f>'May 12(2)'!S24</f>
        <v>8050</v>
      </c>
      <c r="F57" s="274">
        <f t="shared" si="0"/>
        <v>18202</v>
      </c>
    </row>
    <row r="58" spans="1:6" ht="18" customHeight="1" thickBot="1">
      <c r="A58" s="491"/>
      <c r="B58" s="480"/>
      <c r="C58" s="275" t="s">
        <v>124</v>
      </c>
      <c r="D58" s="379">
        <v>-3238</v>
      </c>
      <c r="E58" s="276">
        <f>E56-E57</f>
        <v>-2277</v>
      </c>
      <c r="F58" s="277">
        <f t="shared" si="0"/>
        <v>-5515</v>
      </c>
    </row>
    <row r="59" spans="1:6" ht="18" customHeight="1">
      <c r="A59" s="489">
        <v>19</v>
      </c>
      <c r="B59" s="478" t="s">
        <v>70</v>
      </c>
      <c r="C59" s="271" t="s">
        <v>122</v>
      </c>
      <c r="D59" s="377">
        <v>2685</v>
      </c>
      <c r="E59" s="272">
        <f>'May 12(2)'!AE25</f>
        <v>4833</v>
      </c>
      <c r="F59" s="273">
        <f t="shared" si="0"/>
        <v>7518</v>
      </c>
    </row>
    <row r="60" spans="1:6" ht="18" customHeight="1">
      <c r="A60" s="490"/>
      <c r="B60" s="479"/>
      <c r="C60" s="257" t="s">
        <v>123</v>
      </c>
      <c r="D60" s="378">
        <v>10256</v>
      </c>
      <c r="E60" s="261">
        <f>'May 12(2)'!S25</f>
        <v>19204</v>
      </c>
      <c r="F60" s="274">
        <f t="shared" si="0"/>
        <v>29460</v>
      </c>
    </row>
    <row r="61" spans="1:8" ht="18" customHeight="1" thickBot="1">
      <c r="A61" s="491"/>
      <c r="B61" s="480"/>
      <c r="C61" s="275" t="s">
        <v>124</v>
      </c>
      <c r="D61" s="379">
        <v>-7571</v>
      </c>
      <c r="E61" s="276">
        <f>E59-E60</f>
        <v>-14371</v>
      </c>
      <c r="F61" s="277">
        <f t="shared" si="0"/>
        <v>-21942</v>
      </c>
      <c r="H61" s="264"/>
    </row>
    <row r="62" spans="1:8" ht="18" customHeight="1">
      <c r="A62" s="489">
        <v>20</v>
      </c>
      <c r="B62" s="478" t="s">
        <v>71</v>
      </c>
      <c r="C62" s="271" t="s">
        <v>122</v>
      </c>
      <c r="D62" s="377">
        <v>9539</v>
      </c>
      <c r="E62" s="272">
        <f>'May 12(2)'!AE26</f>
        <v>9953</v>
      </c>
      <c r="F62" s="273">
        <f t="shared" si="0"/>
        <v>19492</v>
      </c>
      <c r="H62" s="264"/>
    </row>
    <row r="63" spans="1:8" ht="18" customHeight="1">
      <c r="A63" s="490"/>
      <c r="B63" s="479"/>
      <c r="C63" s="257" t="s">
        <v>123</v>
      </c>
      <c r="D63" s="378">
        <v>21451</v>
      </c>
      <c r="E63" s="261">
        <f>'May 12(2)'!S26</f>
        <v>21633</v>
      </c>
      <c r="F63" s="274">
        <f t="shared" si="0"/>
        <v>43084</v>
      </c>
      <c r="H63" s="264"/>
    </row>
    <row r="64" spans="1:8" ht="18" customHeight="1" thickBot="1">
      <c r="A64" s="491"/>
      <c r="B64" s="480"/>
      <c r="C64" s="275" t="s">
        <v>124</v>
      </c>
      <c r="D64" s="379">
        <v>-11912</v>
      </c>
      <c r="E64" s="276">
        <f>E62-E63</f>
        <v>-11680</v>
      </c>
      <c r="F64" s="277">
        <f t="shared" si="0"/>
        <v>-23592</v>
      </c>
      <c r="H64" s="264"/>
    </row>
    <row r="65" spans="1:8" ht="18" customHeight="1">
      <c r="A65" s="489">
        <v>21</v>
      </c>
      <c r="B65" s="478" t="s">
        <v>72</v>
      </c>
      <c r="C65" s="271" t="s">
        <v>122</v>
      </c>
      <c r="D65" s="377">
        <v>564</v>
      </c>
      <c r="E65" s="272">
        <f>'May 12(2)'!AE27</f>
        <v>946</v>
      </c>
      <c r="F65" s="273">
        <f t="shared" si="0"/>
        <v>1510</v>
      </c>
      <c r="H65" s="264"/>
    </row>
    <row r="66" spans="1:8" ht="18" customHeight="1">
      <c r="A66" s="490"/>
      <c r="B66" s="479"/>
      <c r="C66" s="257" t="s">
        <v>123</v>
      </c>
      <c r="D66" s="378">
        <v>2004</v>
      </c>
      <c r="E66" s="261">
        <f>'May 12(2)'!S27</f>
        <v>2929</v>
      </c>
      <c r="F66" s="274">
        <f t="shared" si="0"/>
        <v>4933</v>
      </c>
      <c r="H66" s="264"/>
    </row>
    <row r="67" spans="1:8" ht="18" customHeight="1" thickBot="1">
      <c r="A67" s="491"/>
      <c r="B67" s="480"/>
      <c r="C67" s="275" t="s">
        <v>124</v>
      </c>
      <c r="D67" s="379">
        <v>-1440</v>
      </c>
      <c r="E67" s="276">
        <f>E65-E66</f>
        <v>-1983</v>
      </c>
      <c r="F67" s="277">
        <f t="shared" si="0"/>
        <v>-3423</v>
      </c>
      <c r="H67" s="264"/>
    </row>
    <row r="68" spans="1:8" ht="18" customHeight="1">
      <c r="A68" s="489">
        <v>22</v>
      </c>
      <c r="B68" s="478" t="s">
        <v>7</v>
      </c>
      <c r="C68" s="271" t="s">
        <v>122</v>
      </c>
      <c r="D68" s="377">
        <v>2086</v>
      </c>
      <c r="E68" s="272">
        <f>'May 12(2)'!AE28</f>
        <v>2467</v>
      </c>
      <c r="F68" s="273">
        <f t="shared" si="0"/>
        <v>4553</v>
      </c>
      <c r="H68" s="264"/>
    </row>
    <row r="69" spans="1:8" ht="18" customHeight="1">
      <c r="A69" s="490"/>
      <c r="B69" s="479"/>
      <c r="C69" s="257" t="s">
        <v>123</v>
      </c>
      <c r="D69" s="378">
        <v>23148</v>
      </c>
      <c r="E69" s="261">
        <f>'May 12(2)'!S28</f>
        <v>49304</v>
      </c>
      <c r="F69" s="274">
        <f t="shared" si="0"/>
        <v>72452</v>
      </c>
      <c r="H69" s="264"/>
    </row>
    <row r="70" spans="1:8" ht="18" customHeight="1" thickBot="1">
      <c r="A70" s="491"/>
      <c r="B70" s="480"/>
      <c r="C70" s="275" t="s">
        <v>124</v>
      </c>
      <c r="D70" s="379">
        <v>-21062</v>
      </c>
      <c r="E70" s="276">
        <f>E68-E69</f>
        <v>-46837</v>
      </c>
      <c r="F70" s="277">
        <f aca="true" t="shared" si="1" ref="F70:F85">SUM(D70:E70)</f>
        <v>-67899</v>
      </c>
      <c r="H70" s="264"/>
    </row>
    <row r="71" spans="1:8" ht="18" customHeight="1">
      <c r="A71" s="489">
        <v>23</v>
      </c>
      <c r="B71" s="478" t="s">
        <v>8</v>
      </c>
      <c r="C71" s="271" t="s">
        <v>122</v>
      </c>
      <c r="D71" s="377">
        <v>2309</v>
      </c>
      <c r="E71" s="272">
        <f>'May 12(2)'!AE29</f>
        <v>3016</v>
      </c>
      <c r="F71" s="273">
        <f t="shared" si="1"/>
        <v>5325</v>
      </c>
      <c r="H71" s="264"/>
    </row>
    <row r="72" spans="1:8" ht="18" customHeight="1">
      <c r="A72" s="490"/>
      <c r="B72" s="479"/>
      <c r="C72" s="257" t="s">
        <v>123</v>
      </c>
      <c r="D72" s="378">
        <v>4162</v>
      </c>
      <c r="E72" s="261">
        <f>'May 12(2)'!S29</f>
        <v>3967</v>
      </c>
      <c r="F72" s="274">
        <f t="shared" si="1"/>
        <v>8129</v>
      </c>
      <c r="H72" s="264"/>
    </row>
    <row r="73" spans="1:8" ht="18" customHeight="1" thickBot="1">
      <c r="A73" s="491"/>
      <c r="B73" s="480"/>
      <c r="C73" s="275" t="s">
        <v>124</v>
      </c>
      <c r="D73" s="379">
        <v>-1853</v>
      </c>
      <c r="E73" s="276">
        <f>E71-E72</f>
        <v>-951</v>
      </c>
      <c r="F73" s="277">
        <f t="shared" si="1"/>
        <v>-2804</v>
      </c>
      <c r="H73" s="264"/>
    </row>
    <row r="74" spans="1:8" ht="18" customHeight="1">
      <c r="A74" s="489">
        <v>24</v>
      </c>
      <c r="B74" s="478" t="s">
        <v>40</v>
      </c>
      <c r="C74" s="271" t="s">
        <v>122</v>
      </c>
      <c r="D74" s="377">
        <v>1372</v>
      </c>
      <c r="E74" s="272">
        <f>'May 12(2)'!AE30</f>
        <v>1559</v>
      </c>
      <c r="F74" s="273">
        <f t="shared" si="1"/>
        <v>2931</v>
      </c>
      <c r="H74" s="264"/>
    </row>
    <row r="75" spans="1:8" ht="18" customHeight="1">
      <c r="A75" s="490"/>
      <c r="B75" s="479"/>
      <c r="C75" s="257" t="s">
        <v>123</v>
      </c>
      <c r="D75" s="378">
        <v>31585</v>
      </c>
      <c r="E75" s="261">
        <f>'May 12(2)'!S30</f>
        <v>27477</v>
      </c>
      <c r="F75" s="274">
        <f t="shared" si="1"/>
        <v>59062</v>
      </c>
      <c r="H75" s="264"/>
    </row>
    <row r="76" spans="1:8" ht="18" customHeight="1" thickBot="1">
      <c r="A76" s="491"/>
      <c r="B76" s="480"/>
      <c r="C76" s="275" t="s">
        <v>124</v>
      </c>
      <c r="D76" s="379">
        <v>-30213</v>
      </c>
      <c r="E76" s="276">
        <f>E74-E75</f>
        <v>-25918</v>
      </c>
      <c r="F76" s="277">
        <f t="shared" si="1"/>
        <v>-56131</v>
      </c>
      <c r="H76" s="264"/>
    </row>
    <row r="77" spans="1:8" ht="18" customHeight="1">
      <c r="A77" s="489">
        <v>25</v>
      </c>
      <c r="B77" s="478" t="s">
        <v>9</v>
      </c>
      <c r="C77" s="271" t="s">
        <v>122</v>
      </c>
      <c r="D77" s="377">
        <v>1928</v>
      </c>
      <c r="E77" s="272">
        <f>'May 12(2)'!AE31</f>
        <v>4760</v>
      </c>
      <c r="F77" s="273">
        <f t="shared" si="1"/>
        <v>6688</v>
      </c>
      <c r="H77" s="264"/>
    </row>
    <row r="78" spans="1:8" ht="18" customHeight="1">
      <c r="A78" s="490"/>
      <c r="B78" s="479"/>
      <c r="C78" s="257" t="s">
        <v>123</v>
      </c>
      <c r="D78" s="378">
        <v>12813</v>
      </c>
      <c r="E78" s="261">
        <f>'May 12(2)'!S31</f>
        <v>1649</v>
      </c>
      <c r="F78" s="274">
        <f t="shared" si="1"/>
        <v>14462</v>
      </c>
      <c r="H78" s="264"/>
    </row>
    <row r="79" spans="1:8" ht="18" customHeight="1" thickBot="1">
      <c r="A79" s="491"/>
      <c r="B79" s="480"/>
      <c r="C79" s="275" t="s">
        <v>124</v>
      </c>
      <c r="D79" s="379">
        <v>-10885</v>
      </c>
      <c r="E79" s="276">
        <f>E77-E78</f>
        <v>3111</v>
      </c>
      <c r="F79" s="277">
        <f t="shared" si="1"/>
        <v>-7774</v>
      </c>
      <c r="H79" s="264"/>
    </row>
    <row r="80" spans="1:8" ht="18" customHeight="1">
      <c r="A80" s="489">
        <v>26</v>
      </c>
      <c r="B80" s="478" t="s">
        <v>10</v>
      </c>
      <c r="C80" s="271" t="s">
        <v>122</v>
      </c>
      <c r="D80" s="377">
        <v>4237</v>
      </c>
      <c r="E80" s="272">
        <f>'May 12(2)'!AE32</f>
        <v>4097</v>
      </c>
      <c r="F80" s="273">
        <f t="shared" si="1"/>
        <v>8334</v>
      </c>
      <c r="H80" s="264"/>
    </row>
    <row r="81" spans="1:8" ht="18" customHeight="1">
      <c r="A81" s="490"/>
      <c r="B81" s="479"/>
      <c r="C81" s="257" t="s">
        <v>123</v>
      </c>
      <c r="D81" s="378">
        <v>5171</v>
      </c>
      <c r="E81" s="261">
        <f>'May 12(2)'!S32</f>
        <v>8679</v>
      </c>
      <c r="F81" s="274">
        <f t="shared" si="1"/>
        <v>13850</v>
      </c>
      <c r="H81" s="264"/>
    </row>
    <row r="82" spans="1:8" ht="18" customHeight="1" thickBot="1">
      <c r="A82" s="491"/>
      <c r="B82" s="480"/>
      <c r="C82" s="275" t="s">
        <v>124</v>
      </c>
      <c r="D82" s="379">
        <v>-934</v>
      </c>
      <c r="E82" s="276">
        <f>E80-E81</f>
        <v>-4582</v>
      </c>
      <c r="F82" s="277">
        <f t="shared" si="1"/>
        <v>-5516</v>
      </c>
      <c r="H82" s="264"/>
    </row>
    <row r="83" spans="1:6" s="265" customFormat="1" ht="15">
      <c r="A83" s="494"/>
      <c r="B83" s="481" t="s">
        <v>11</v>
      </c>
      <c r="C83" s="271" t="s">
        <v>122</v>
      </c>
      <c r="D83" s="377">
        <v>82596</v>
      </c>
      <c r="E83" s="272">
        <f>E5+E8+E11+E14+E17+E20+E23+E26+E29+E32+E35+E38+E41+E44+E47+E50+E53+E56+E59+E62+E65+E68+E71+E74+E77+E80</f>
        <v>138064</v>
      </c>
      <c r="F83" s="273">
        <f t="shared" si="1"/>
        <v>220660</v>
      </c>
    </row>
    <row r="84" spans="1:6" s="265" customFormat="1" ht="18" customHeight="1">
      <c r="A84" s="495"/>
      <c r="B84" s="482"/>
      <c r="C84" s="257" t="s">
        <v>123</v>
      </c>
      <c r="D84" s="378">
        <v>366658</v>
      </c>
      <c r="E84" s="258">
        <f>E6+E9+E12+E15+E18+E21+E24+E27+E30+E33+E36+E39+E42+E45+E48+E51+E54+E57+E60+E63+E66+E69+E72+E75+E78+E81</f>
        <v>502070</v>
      </c>
      <c r="F84" s="274">
        <f t="shared" si="1"/>
        <v>868728</v>
      </c>
    </row>
    <row r="85" spans="1:6" s="265" customFormat="1" ht="18" customHeight="1" thickBot="1">
      <c r="A85" s="496"/>
      <c r="B85" s="483"/>
      <c r="C85" s="275" t="s">
        <v>124</v>
      </c>
      <c r="D85" s="379">
        <v>-284062</v>
      </c>
      <c r="E85" s="276">
        <f>E83-E84</f>
        <v>-364006</v>
      </c>
      <c r="F85" s="277">
        <f t="shared" si="1"/>
        <v>-648068</v>
      </c>
    </row>
    <row r="86" spans="1:13" ht="15">
      <c r="A86" s="472" t="s">
        <v>149</v>
      </c>
      <c r="B86" s="473"/>
      <c r="C86" s="278" t="s">
        <v>122</v>
      </c>
      <c r="D86" s="380">
        <v>0.082596</v>
      </c>
      <c r="E86" s="296">
        <f aca="true" t="shared" si="2" ref="E86:F88">E83/1000000</f>
        <v>0.138064</v>
      </c>
      <c r="F86" s="297">
        <f t="shared" si="2"/>
        <v>0.22066</v>
      </c>
      <c r="J86" s="355"/>
      <c r="K86" s="355"/>
      <c r="L86" s="355"/>
      <c r="M86" s="355"/>
    </row>
    <row r="87" spans="1:13" ht="15">
      <c r="A87" s="474"/>
      <c r="B87" s="475"/>
      <c r="C87" s="259" t="s">
        <v>123</v>
      </c>
      <c r="D87" s="137">
        <v>0.366658</v>
      </c>
      <c r="E87" s="184">
        <f t="shared" si="2"/>
        <v>0.50207</v>
      </c>
      <c r="F87" s="298">
        <f t="shared" si="2"/>
        <v>0.868728</v>
      </c>
      <c r="J87" s="355"/>
      <c r="K87" s="355"/>
      <c r="L87" s="355"/>
      <c r="M87" s="355"/>
    </row>
    <row r="88" spans="1:8" ht="15.75" thickBot="1">
      <c r="A88" s="476"/>
      <c r="B88" s="477"/>
      <c r="C88" s="279" t="s">
        <v>124</v>
      </c>
      <c r="D88" s="381">
        <v>-0.284062</v>
      </c>
      <c r="E88" s="299">
        <f t="shared" si="2"/>
        <v>-0.364006</v>
      </c>
      <c r="F88" s="300">
        <f t="shared" si="2"/>
        <v>-0.648068</v>
      </c>
      <c r="H88" s="357"/>
    </row>
    <row r="89" spans="1:6" ht="15">
      <c r="A89" s="134"/>
      <c r="E89" s="134"/>
      <c r="F89" s="134"/>
    </row>
    <row r="90" ht="15" customHeight="1"/>
    <row r="91" ht="15" customHeight="1"/>
    <row r="92" spans="5:6" ht="15" customHeight="1">
      <c r="E92" s="146"/>
      <c r="F92" s="263"/>
    </row>
    <row r="93" spans="5:13" ht="15" customHeight="1">
      <c r="E93" s="146"/>
      <c r="F93" s="263"/>
      <c r="J93" s="356"/>
      <c r="K93" s="356"/>
      <c r="L93" s="356"/>
      <c r="M93" s="356"/>
    </row>
    <row r="94" spans="2:13" ht="15" customHeight="1">
      <c r="B94" s="263"/>
      <c r="C94" s="263"/>
      <c r="D94" s="263"/>
      <c r="E94" s="146"/>
      <c r="F94" s="263"/>
      <c r="J94" s="356"/>
      <c r="K94" s="356"/>
      <c r="L94" s="356"/>
      <c r="M94" s="356"/>
    </row>
    <row r="95" spans="2:13" ht="15">
      <c r="B95" s="263"/>
      <c r="C95" s="263"/>
      <c r="D95" s="263"/>
      <c r="E95" s="263"/>
      <c r="F95" s="263"/>
      <c r="J95" s="356"/>
      <c r="K95" s="356"/>
      <c r="L95" s="356"/>
      <c r="M95" s="356"/>
    </row>
    <row r="96" spans="2:13" ht="15">
      <c r="B96" s="263"/>
      <c r="C96" s="263"/>
      <c r="D96" s="263"/>
      <c r="E96" s="263"/>
      <c r="F96" s="263"/>
      <c r="J96" s="356"/>
      <c r="K96" s="356"/>
      <c r="L96" s="356"/>
      <c r="M96" s="356"/>
    </row>
    <row r="97" spans="2:6" ht="15">
      <c r="B97" s="263"/>
      <c r="C97" s="263"/>
      <c r="D97" s="263"/>
      <c r="E97" s="263"/>
      <c r="F97" s="263"/>
    </row>
    <row r="98" spans="2:6" ht="15">
      <c r="B98" s="263"/>
      <c r="C98" s="263"/>
      <c r="D98" s="263"/>
      <c r="E98" s="263"/>
      <c r="F98" s="263"/>
    </row>
    <row r="99" spans="2:13" ht="15">
      <c r="B99" s="263"/>
      <c r="C99" s="263"/>
      <c r="D99" s="263"/>
      <c r="E99" s="263"/>
      <c r="F99" s="263"/>
      <c r="J99" s="305"/>
      <c r="K99" s="305"/>
      <c r="L99" s="305"/>
      <c r="M99" s="305"/>
    </row>
    <row r="100" spans="2:13" ht="15">
      <c r="B100" s="263"/>
      <c r="C100" s="263"/>
      <c r="D100" s="263"/>
      <c r="E100" s="263"/>
      <c r="F100" s="263"/>
      <c r="J100" s="305"/>
      <c r="K100" s="305"/>
      <c r="L100" s="305"/>
      <c r="M100" s="305"/>
    </row>
    <row r="101" spans="5:6" ht="15">
      <c r="E101" s="263"/>
      <c r="F101" s="263"/>
    </row>
    <row r="104" spans="3:15" ht="15">
      <c r="C104" s="468"/>
      <c r="G104" s="467"/>
      <c r="H104" s="470" t="s">
        <v>152</v>
      </c>
      <c r="I104" s="470" t="s">
        <v>153</v>
      </c>
      <c r="J104" s="470" t="s">
        <v>150</v>
      </c>
      <c r="K104" s="470" t="s">
        <v>151</v>
      </c>
      <c r="L104" s="467" t="s">
        <v>154</v>
      </c>
      <c r="M104" s="467"/>
      <c r="N104" s="467" t="s">
        <v>156</v>
      </c>
      <c r="O104" s="467"/>
    </row>
    <row r="105" spans="3:15" ht="43.5" thickBot="1">
      <c r="C105" s="469"/>
      <c r="D105" s="146"/>
      <c r="G105" s="467"/>
      <c r="H105" s="470"/>
      <c r="I105" s="470"/>
      <c r="J105" s="470"/>
      <c r="K105" s="470"/>
      <c r="L105" s="307" t="s">
        <v>157</v>
      </c>
      <c r="M105" s="307" t="s">
        <v>155</v>
      </c>
      <c r="N105" s="307" t="s">
        <v>157</v>
      </c>
      <c r="O105" s="307" t="s">
        <v>155</v>
      </c>
    </row>
    <row r="106" spans="7:15" ht="30">
      <c r="G106" s="308" t="s">
        <v>158</v>
      </c>
      <c r="H106" s="305">
        <f>H113/1000000</f>
        <v>81.490665</v>
      </c>
      <c r="I106" s="305">
        <f aca="true" t="shared" si="3" ref="I106:O106">I113/1000000</f>
        <v>93.087795</v>
      </c>
      <c r="J106" s="305">
        <f t="shared" si="3"/>
        <v>15</v>
      </c>
      <c r="K106" s="305">
        <f t="shared" si="3"/>
        <v>96.490665</v>
      </c>
      <c r="L106" s="305">
        <f t="shared" si="3"/>
        <v>18.8</v>
      </c>
      <c r="M106" s="305">
        <f t="shared" si="3"/>
        <v>115.290665</v>
      </c>
      <c r="N106" s="305">
        <f t="shared" si="3"/>
        <v>21</v>
      </c>
      <c r="O106" s="305">
        <f t="shared" si="3"/>
        <v>136.290665</v>
      </c>
    </row>
    <row r="107" spans="7:15" ht="30">
      <c r="G107" s="308" t="s">
        <v>159</v>
      </c>
      <c r="H107" s="305">
        <f>H114/1000000</f>
        <v>3.557471</v>
      </c>
      <c r="I107" s="305">
        <f aca="true" t="shared" si="4" ref="I107:O107">I114/1000000</f>
        <v>4.880591</v>
      </c>
      <c r="J107" s="305">
        <f t="shared" si="4"/>
        <v>2.5</v>
      </c>
      <c r="K107" s="305">
        <f t="shared" si="4"/>
        <v>6.057471</v>
      </c>
      <c r="L107" s="305">
        <f t="shared" si="4"/>
        <v>7.5</v>
      </c>
      <c r="M107" s="305">
        <f t="shared" si="4"/>
        <v>13.557471</v>
      </c>
      <c r="N107" s="305">
        <f t="shared" si="4"/>
        <v>5</v>
      </c>
      <c r="O107" s="305">
        <f t="shared" si="4"/>
        <v>18.557471</v>
      </c>
    </row>
    <row r="112" ht="15.75" thickBot="1"/>
    <row r="113" spans="8:15" ht="15.75" thickBot="1">
      <c r="H113" s="265">
        <v>81490665</v>
      </c>
      <c r="I113" s="306">
        <v>93087795</v>
      </c>
      <c r="J113" s="142">
        <v>15000000</v>
      </c>
      <c r="K113" s="142">
        <f>H113+J113</f>
        <v>96490665</v>
      </c>
      <c r="L113" s="142">
        <v>18800000</v>
      </c>
      <c r="M113" s="142">
        <f>SUM(K113:L113)</f>
        <v>115290665</v>
      </c>
      <c r="N113" s="142">
        <v>21000000</v>
      </c>
      <c r="O113" s="142">
        <f>SUM(M113:N113)</f>
        <v>136290665</v>
      </c>
    </row>
    <row r="114" spans="8:15" ht="15">
      <c r="H114" s="265">
        <v>3557471</v>
      </c>
      <c r="I114" s="306">
        <v>4880591</v>
      </c>
      <c r="J114" s="142">
        <v>2500000</v>
      </c>
      <c r="K114" s="142">
        <f>H114+J114</f>
        <v>6057471</v>
      </c>
      <c r="L114" s="142">
        <v>7500000</v>
      </c>
      <c r="M114" s="142">
        <f>SUM(K114:L114)</f>
        <v>13557471</v>
      </c>
      <c r="N114" s="142">
        <v>5000000</v>
      </c>
      <c r="O114" s="142">
        <f>SUM(M114:N114)</f>
        <v>18557471</v>
      </c>
    </row>
  </sheetData>
  <sheetProtection/>
  <mergeCells count="64">
    <mergeCell ref="A83:A85"/>
    <mergeCell ref="A59:A61"/>
    <mergeCell ref="A62:A64"/>
    <mergeCell ref="A65:A67"/>
    <mergeCell ref="A68:A70"/>
    <mergeCell ref="A71:A73"/>
    <mergeCell ref="A74:A76"/>
    <mergeCell ref="A53:A55"/>
    <mergeCell ref="A56:A58"/>
    <mergeCell ref="A77:A79"/>
    <mergeCell ref="A80:A82"/>
    <mergeCell ref="A41:A43"/>
    <mergeCell ref="A44:A46"/>
    <mergeCell ref="A47:A49"/>
    <mergeCell ref="A50:A52"/>
    <mergeCell ref="A29:A31"/>
    <mergeCell ref="A32:A34"/>
    <mergeCell ref="A35:A37"/>
    <mergeCell ref="A38:A40"/>
    <mergeCell ref="A17:A19"/>
    <mergeCell ref="A20:A22"/>
    <mergeCell ref="A23:A25"/>
    <mergeCell ref="A26:A28"/>
    <mergeCell ref="A5:A7"/>
    <mergeCell ref="A8:A10"/>
    <mergeCell ref="A11:A13"/>
    <mergeCell ref="A14:A16"/>
    <mergeCell ref="B35:B37"/>
    <mergeCell ref="B38:B40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74:B76"/>
    <mergeCell ref="B41:B43"/>
    <mergeCell ref="B44:B46"/>
    <mergeCell ref="B47:B49"/>
    <mergeCell ref="B50:B52"/>
    <mergeCell ref="B53:B55"/>
    <mergeCell ref="B56:B58"/>
    <mergeCell ref="E1:F1"/>
    <mergeCell ref="A86:B88"/>
    <mergeCell ref="B77:B79"/>
    <mergeCell ref="B80:B82"/>
    <mergeCell ref="B83:B85"/>
    <mergeCell ref="B59:B61"/>
    <mergeCell ref="B62:B64"/>
    <mergeCell ref="B65:B67"/>
    <mergeCell ref="B68:B70"/>
    <mergeCell ref="B71:B73"/>
    <mergeCell ref="L104:M104"/>
    <mergeCell ref="N104:O104"/>
    <mergeCell ref="C104:C105"/>
    <mergeCell ref="G104:G105"/>
    <mergeCell ref="J104:J105"/>
    <mergeCell ref="K104:K105"/>
    <mergeCell ref="I104:I105"/>
    <mergeCell ref="H104:H105"/>
  </mergeCells>
  <conditionalFormatting sqref="P5:P82">
    <cfRule type="top10" priority="3" dxfId="3" stopIfTrue="1" rank="5" bottom="1"/>
    <cfRule type="top10" priority="4" dxfId="0" stopIfTrue="1" rank="5"/>
  </conditionalFormatting>
  <conditionalFormatting sqref="M5:M82">
    <cfRule type="top10" priority="1" dxfId="1" stopIfTrue="1" rank="10"/>
    <cfRule type="top10" priority="2" dxfId="0" stopIfTrue="1" rank="5"/>
  </conditionalFormatting>
  <printOptions/>
  <pageMargins left="0.5118110236220472" right="0.11811023622047245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58">
      <selection activeCell="H58" sqref="H58"/>
    </sheetView>
  </sheetViews>
  <sheetFormatPr defaultColWidth="7.8515625" defaultRowHeight="12.75"/>
  <cols>
    <col min="1" max="1" width="4.8515625" style="142" customWidth="1"/>
    <col min="2" max="2" width="17.00390625" style="142" customWidth="1"/>
    <col min="3" max="3" width="15.28125" style="142" customWidth="1"/>
    <col min="4" max="4" width="21.8515625" style="142" customWidth="1"/>
    <col min="5" max="5" width="26.140625" style="142" customWidth="1"/>
    <col min="6" max="6" width="30.28125" style="265" customWidth="1"/>
    <col min="7" max="10" width="7.8515625" style="142" customWidth="1"/>
    <col min="11" max="16384" width="7.8515625" style="142" customWidth="1"/>
  </cols>
  <sheetData>
    <row r="1" spans="1:5" ht="18" customHeight="1">
      <c r="A1" s="262"/>
      <c r="B1" s="260"/>
      <c r="C1" s="260"/>
      <c r="D1" s="260"/>
      <c r="E1" s="126" t="s">
        <v>135</v>
      </c>
    </row>
    <row r="2" spans="1:6" ht="16.5" customHeight="1">
      <c r="A2" s="133" t="s">
        <v>192</v>
      </c>
      <c r="C2" s="133"/>
      <c r="D2" s="133"/>
      <c r="E2" s="134"/>
      <c r="F2" s="134"/>
    </row>
    <row r="3" spans="1:6" ht="9" customHeight="1" thickBot="1">
      <c r="A3" s="134"/>
      <c r="B3" s="134"/>
      <c r="C3" s="134"/>
      <c r="D3" s="134"/>
      <c r="E3" s="134"/>
      <c r="F3" s="134"/>
    </row>
    <row r="4" spans="1:6" ht="30" customHeight="1" thickBot="1">
      <c r="A4" s="268" t="s">
        <v>18</v>
      </c>
      <c r="B4" s="269" t="s">
        <v>120</v>
      </c>
      <c r="C4" s="269" t="s">
        <v>121</v>
      </c>
      <c r="D4" s="311">
        <v>41000</v>
      </c>
      <c r="E4" s="311">
        <v>41030</v>
      </c>
      <c r="F4" s="270" t="s">
        <v>2</v>
      </c>
    </row>
    <row r="5" spans="1:6" ht="18" customHeight="1">
      <c r="A5" s="486">
        <v>1</v>
      </c>
      <c r="B5" s="478" t="s">
        <v>39</v>
      </c>
      <c r="C5" s="271" t="s">
        <v>122</v>
      </c>
      <c r="D5" s="377">
        <v>191</v>
      </c>
      <c r="E5" s="280">
        <f>'May 12(2)'!AF7</f>
        <v>404</v>
      </c>
      <c r="F5" s="273">
        <f>SUM(D5:E5)</f>
        <v>595</v>
      </c>
    </row>
    <row r="6" spans="1:6" ht="18" customHeight="1">
      <c r="A6" s="487"/>
      <c r="B6" s="479"/>
      <c r="C6" s="257" t="s">
        <v>123</v>
      </c>
      <c r="D6" s="378">
        <v>74</v>
      </c>
      <c r="E6" s="261">
        <f>'May 12(2)'!T7</f>
        <v>60</v>
      </c>
      <c r="F6" s="274">
        <f aca="true" t="shared" si="0" ref="F6:F69">SUM(D6:E6)</f>
        <v>134</v>
      </c>
    </row>
    <row r="7" spans="1:6" ht="18" customHeight="1" thickBot="1">
      <c r="A7" s="488"/>
      <c r="B7" s="480"/>
      <c r="C7" s="275" t="s">
        <v>124</v>
      </c>
      <c r="D7" s="379">
        <v>117</v>
      </c>
      <c r="E7" s="276">
        <f>E5-E6</f>
        <v>344</v>
      </c>
      <c r="F7" s="277">
        <f t="shared" si="0"/>
        <v>461</v>
      </c>
    </row>
    <row r="8" spans="1:6" ht="18" customHeight="1">
      <c r="A8" s="489">
        <v>2</v>
      </c>
      <c r="B8" s="478" t="s">
        <v>65</v>
      </c>
      <c r="C8" s="271" t="s">
        <v>122</v>
      </c>
      <c r="D8" s="377">
        <v>1122</v>
      </c>
      <c r="E8" s="280">
        <f>'May 12(2)'!AF8</f>
        <v>1597</v>
      </c>
      <c r="F8" s="273">
        <f t="shared" si="0"/>
        <v>2719</v>
      </c>
    </row>
    <row r="9" spans="1:6" ht="18" customHeight="1">
      <c r="A9" s="490"/>
      <c r="B9" s="479"/>
      <c r="C9" s="257" t="s">
        <v>123</v>
      </c>
      <c r="D9" s="378">
        <v>3058</v>
      </c>
      <c r="E9" s="261">
        <f>'May 12(2)'!T8</f>
        <v>7409</v>
      </c>
      <c r="F9" s="274">
        <f t="shared" si="0"/>
        <v>10467</v>
      </c>
    </row>
    <row r="10" spans="1:6" ht="18" customHeight="1" thickBot="1">
      <c r="A10" s="491"/>
      <c r="B10" s="480"/>
      <c r="C10" s="275" t="s">
        <v>124</v>
      </c>
      <c r="D10" s="379">
        <v>-1936</v>
      </c>
      <c r="E10" s="276">
        <f>E8-E9</f>
        <v>-5812</v>
      </c>
      <c r="F10" s="277">
        <f t="shared" si="0"/>
        <v>-7748</v>
      </c>
    </row>
    <row r="11" spans="1:6" ht="18" customHeight="1">
      <c r="A11" s="489">
        <v>3</v>
      </c>
      <c r="B11" s="478" t="s">
        <v>3</v>
      </c>
      <c r="C11" s="271" t="s">
        <v>122</v>
      </c>
      <c r="D11" s="377">
        <v>278</v>
      </c>
      <c r="E11" s="280">
        <f>'May 12(2)'!AF9</f>
        <v>239</v>
      </c>
      <c r="F11" s="273">
        <f t="shared" si="0"/>
        <v>517</v>
      </c>
    </row>
    <row r="12" spans="1:6" ht="18" customHeight="1">
      <c r="A12" s="490"/>
      <c r="B12" s="479"/>
      <c r="C12" s="257" t="s">
        <v>123</v>
      </c>
      <c r="D12" s="378">
        <v>206</v>
      </c>
      <c r="E12" s="261">
        <f>'May 12(2)'!T9</f>
        <v>176</v>
      </c>
      <c r="F12" s="274">
        <f t="shared" si="0"/>
        <v>382</v>
      </c>
    </row>
    <row r="13" spans="1:6" ht="18" customHeight="1" thickBot="1">
      <c r="A13" s="491"/>
      <c r="B13" s="480"/>
      <c r="C13" s="275" t="s">
        <v>124</v>
      </c>
      <c r="D13" s="379">
        <v>72</v>
      </c>
      <c r="E13" s="276">
        <f>E11-E12</f>
        <v>63</v>
      </c>
      <c r="F13" s="277">
        <f t="shared" si="0"/>
        <v>135</v>
      </c>
    </row>
    <row r="14" spans="1:6" ht="18" customHeight="1">
      <c r="A14" s="489">
        <v>4</v>
      </c>
      <c r="B14" s="478" t="s">
        <v>31</v>
      </c>
      <c r="C14" s="271" t="s">
        <v>122</v>
      </c>
      <c r="D14" s="377">
        <v>0</v>
      </c>
      <c r="E14" s="280">
        <f>'May 12(2)'!AF10</f>
        <v>2467</v>
      </c>
      <c r="F14" s="273">
        <f t="shared" si="0"/>
        <v>2467</v>
      </c>
    </row>
    <row r="15" spans="1:6" ht="18" customHeight="1">
      <c r="A15" s="490"/>
      <c r="B15" s="479"/>
      <c r="C15" s="257" t="s">
        <v>123</v>
      </c>
      <c r="D15" s="378">
        <v>151815</v>
      </c>
      <c r="E15" s="261">
        <f>'May 12(2)'!T10</f>
        <v>2408</v>
      </c>
      <c r="F15" s="274">
        <f t="shared" si="0"/>
        <v>154223</v>
      </c>
    </row>
    <row r="16" spans="1:6" ht="18" customHeight="1" thickBot="1">
      <c r="A16" s="491"/>
      <c r="B16" s="480"/>
      <c r="C16" s="275" t="s">
        <v>124</v>
      </c>
      <c r="D16" s="379">
        <v>-151815</v>
      </c>
      <c r="E16" s="276">
        <f>E14-E15</f>
        <v>59</v>
      </c>
      <c r="F16" s="277">
        <f t="shared" si="0"/>
        <v>-151756</v>
      </c>
    </row>
    <row r="17" spans="1:6" ht="18" customHeight="1">
      <c r="A17" s="489">
        <v>5</v>
      </c>
      <c r="B17" s="478" t="s">
        <v>5</v>
      </c>
      <c r="C17" s="271" t="s">
        <v>122</v>
      </c>
      <c r="D17" s="377">
        <v>449</v>
      </c>
      <c r="E17" s="280">
        <f>'May 12(2)'!AF11</f>
        <v>1577</v>
      </c>
      <c r="F17" s="273">
        <f t="shared" si="0"/>
        <v>2026</v>
      </c>
    </row>
    <row r="18" spans="1:6" ht="18" customHeight="1">
      <c r="A18" s="490"/>
      <c r="B18" s="479"/>
      <c r="C18" s="257" t="s">
        <v>123</v>
      </c>
      <c r="D18" s="378">
        <v>2599</v>
      </c>
      <c r="E18" s="261">
        <f>'May 12(2)'!T11</f>
        <v>3432</v>
      </c>
      <c r="F18" s="274">
        <f t="shared" si="0"/>
        <v>6031</v>
      </c>
    </row>
    <row r="19" spans="1:6" ht="18" customHeight="1" thickBot="1">
      <c r="A19" s="491"/>
      <c r="B19" s="480"/>
      <c r="C19" s="275" t="s">
        <v>124</v>
      </c>
      <c r="D19" s="379">
        <v>-2150</v>
      </c>
      <c r="E19" s="276">
        <f>E17-E18</f>
        <v>-1855</v>
      </c>
      <c r="F19" s="277">
        <f t="shared" si="0"/>
        <v>-4005</v>
      </c>
    </row>
    <row r="20" spans="1:6" ht="18" customHeight="1">
      <c r="A20" s="489">
        <v>6</v>
      </c>
      <c r="B20" s="478" t="s">
        <v>32</v>
      </c>
      <c r="C20" s="271" t="s">
        <v>122</v>
      </c>
      <c r="D20" s="377">
        <v>3148</v>
      </c>
      <c r="E20" s="280">
        <f>'May 12(2)'!AF12</f>
        <v>1650</v>
      </c>
      <c r="F20" s="273">
        <f t="shared" si="0"/>
        <v>4798</v>
      </c>
    </row>
    <row r="21" spans="1:6" ht="18" customHeight="1">
      <c r="A21" s="490"/>
      <c r="B21" s="479"/>
      <c r="C21" s="257" t="s">
        <v>123</v>
      </c>
      <c r="D21" s="378">
        <v>6850</v>
      </c>
      <c r="E21" s="261">
        <f>'May 12(2)'!T12</f>
        <v>23834</v>
      </c>
      <c r="F21" s="274">
        <f t="shared" si="0"/>
        <v>30684</v>
      </c>
    </row>
    <row r="22" spans="1:6" ht="18" customHeight="1" thickBot="1">
      <c r="A22" s="491"/>
      <c r="B22" s="480"/>
      <c r="C22" s="275" t="s">
        <v>124</v>
      </c>
      <c r="D22" s="379">
        <v>-3702</v>
      </c>
      <c r="E22" s="276">
        <f>E20-E21</f>
        <v>-22184</v>
      </c>
      <c r="F22" s="277">
        <f t="shared" si="0"/>
        <v>-25886</v>
      </c>
    </row>
    <row r="23" spans="1:6" ht="18" customHeight="1">
      <c r="A23" s="489">
        <v>7</v>
      </c>
      <c r="B23" s="478" t="s">
        <v>66</v>
      </c>
      <c r="C23" s="271" t="s">
        <v>122</v>
      </c>
      <c r="D23" s="377">
        <v>358</v>
      </c>
      <c r="E23" s="280">
        <f>'May 12(2)'!AF13</f>
        <v>259</v>
      </c>
      <c r="F23" s="273">
        <f t="shared" si="0"/>
        <v>617</v>
      </c>
    </row>
    <row r="24" spans="1:6" ht="18" customHeight="1">
      <c r="A24" s="490"/>
      <c r="B24" s="479"/>
      <c r="C24" s="257" t="s">
        <v>123</v>
      </c>
      <c r="D24" s="378">
        <v>678</v>
      </c>
      <c r="E24" s="261">
        <f>'May 12(2)'!T13</f>
        <v>1050</v>
      </c>
      <c r="F24" s="274">
        <f t="shared" si="0"/>
        <v>1728</v>
      </c>
    </row>
    <row r="25" spans="1:6" ht="18" customHeight="1" thickBot="1">
      <c r="A25" s="491"/>
      <c r="B25" s="480"/>
      <c r="C25" s="275" t="s">
        <v>124</v>
      </c>
      <c r="D25" s="379">
        <v>-320</v>
      </c>
      <c r="E25" s="276">
        <f>E23-E24</f>
        <v>-791</v>
      </c>
      <c r="F25" s="277">
        <f t="shared" si="0"/>
        <v>-1111</v>
      </c>
    </row>
    <row r="26" spans="1:6" ht="18" customHeight="1">
      <c r="A26" s="489">
        <v>8</v>
      </c>
      <c r="B26" s="478" t="s">
        <v>125</v>
      </c>
      <c r="C26" s="271" t="s">
        <v>122</v>
      </c>
      <c r="D26" s="377">
        <v>136</v>
      </c>
      <c r="E26" s="280">
        <f>'May 12(2)'!AF14</f>
        <v>304</v>
      </c>
      <c r="F26" s="273">
        <f t="shared" si="0"/>
        <v>440</v>
      </c>
    </row>
    <row r="27" spans="1:6" ht="18" customHeight="1">
      <c r="A27" s="490"/>
      <c r="B27" s="479"/>
      <c r="C27" s="257" t="s">
        <v>123</v>
      </c>
      <c r="D27" s="378">
        <v>1307</v>
      </c>
      <c r="E27" s="261">
        <f>'May 12(2)'!T14</f>
        <v>683</v>
      </c>
      <c r="F27" s="274">
        <f t="shared" si="0"/>
        <v>1990</v>
      </c>
    </row>
    <row r="28" spans="1:6" ht="18" customHeight="1" thickBot="1">
      <c r="A28" s="491"/>
      <c r="B28" s="480"/>
      <c r="C28" s="275" t="s">
        <v>124</v>
      </c>
      <c r="D28" s="379">
        <v>-1171</v>
      </c>
      <c r="E28" s="276">
        <f>E26-E27</f>
        <v>-379</v>
      </c>
      <c r="F28" s="277">
        <f t="shared" si="0"/>
        <v>-1550</v>
      </c>
    </row>
    <row r="29" spans="1:6" ht="18" customHeight="1">
      <c r="A29" s="489">
        <v>9</v>
      </c>
      <c r="B29" s="478" t="s">
        <v>33</v>
      </c>
      <c r="C29" s="271" t="s">
        <v>122</v>
      </c>
      <c r="D29" s="377">
        <v>1284</v>
      </c>
      <c r="E29" s="280">
        <f>'May 12(2)'!AF15</f>
        <v>1468</v>
      </c>
      <c r="F29" s="273">
        <f t="shared" si="0"/>
        <v>2752</v>
      </c>
    </row>
    <row r="30" spans="1:6" ht="18" customHeight="1">
      <c r="A30" s="490"/>
      <c r="B30" s="479"/>
      <c r="C30" s="257" t="s">
        <v>123</v>
      </c>
      <c r="D30" s="378">
        <v>492</v>
      </c>
      <c r="E30" s="261">
        <f>'May 12(2)'!T15</f>
        <v>2461</v>
      </c>
      <c r="F30" s="274">
        <f t="shared" si="0"/>
        <v>2953</v>
      </c>
    </row>
    <row r="31" spans="1:6" ht="18" customHeight="1" thickBot="1">
      <c r="A31" s="491"/>
      <c r="B31" s="480"/>
      <c r="C31" s="275" t="s">
        <v>124</v>
      </c>
      <c r="D31" s="379">
        <v>792</v>
      </c>
      <c r="E31" s="276">
        <f>E29-E30</f>
        <v>-993</v>
      </c>
      <c r="F31" s="277">
        <f t="shared" si="0"/>
        <v>-201</v>
      </c>
    </row>
    <row r="32" spans="1:6" ht="18" customHeight="1">
      <c r="A32" s="489">
        <v>10</v>
      </c>
      <c r="B32" s="478" t="s">
        <v>6</v>
      </c>
      <c r="C32" s="271" t="s">
        <v>122</v>
      </c>
      <c r="D32" s="377">
        <v>82</v>
      </c>
      <c r="E32" s="280">
        <f>'May 12(2)'!AF16</f>
        <v>81</v>
      </c>
      <c r="F32" s="273">
        <f t="shared" si="0"/>
        <v>163</v>
      </c>
    </row>
    <row r="33" spans="1:6" ht="18" customHeight="1">
      <c r="A33" s="490"/>
      <c r="B33" s="479"/>
      <c r="C33" s="257" t="s">
        <v>123</v>
      </c>
      <c r="D33" s="378">
        <v>70</v>
      </c>
      <c r="E33" s="261">
        <f>'May 12(2)'!T16</f>
        <v>93</v>
      </c>
      <c r="F33" s="274">
        <f t="shared" si="0"/>
        <v>163</v>
      </c>
    </row>
    <row r="34" spans="1:6" ht="18" customHeight="1" thickBot="1">
      <c r="A34" s="491"/>
      <c r="B34" s="480"/>
      <c r="C34" s="275" t="s">
        <v>124</v>
      </c>
      <c r="D34" s="379">
        <v>12</v>
      </c>
      <c r="E34" s="276">
        <f>E32-E33</f>
        <v>-12</v>
      </c>
      <c r="F34" s="277">
        <f t="shared" si="0"/>
        <v>0</v>
      </c>
    </row>
    <row r="35" spans="1:6" ht="18" customHeight="1">
      <c r="A35" s="489">
        <v>11</v>
      </c>
      <c r="B35" s="478" t="s">
        <v>126</v>
      </c>
      <c r="C35" s="271" t="s">
        <v>122</v>
      </c>
      <c r="D35" s="377">
        <v>942</v>
      </c>
      <c r="E35" s="280">
        <f>'May 12(2)'!AF17</f>
        <v>928</v>
      </c>
      <c r="F35" s="273">
        <f t="shared" si="0"/>
        <v>1870</v>
      </c>
    </row>
    <row r="36" spans="1:6" ht="18" customHeight="1">
      <c r="A36" s="490"/>
      <c r="B36" s="479"/>
      <c r="C36" s="257" t="s">
        <v>123</v>
      </c>
      <c r="D36" s="378">
        <v>1865</v>
      </c>
      <c r="E36" s="261">
        <f>'May 12(2)'!T17</f>
        <v>6523</v>
      </c>
      <c r="F36" s="274">
        <f t="shared" si="0"/>
        <v>8388</v>
      </c>
    </row>
    <row r="37" spans="1:6" ht="18" customHeight="1" thickBot="1">
      <c r="A37" s="491"/>
      <c r="B37" s="480"/>
      <c r="C37" s="275" t="s">
        <v>124</v>
      </c>
      <c r="D37" s="379">
        <v>-923</v>
      </c>
      <c r="E37" s="276">
        <f>E35-E36</f>
        <v>-5595</v>
      </c>
      <c r="F37" s="277">
        <f t="shared" si="0"/>
        <v>-6518</v>
      </c>
    </row>
    <row r="38" spans="1:6" ht="18" customHeight="1">
      <c r="A38" s="489">
        <v>12</v>
      </c>
      <c r="B38" s="478" t="s">
        <v>35</v>
      </c>
      <c r="C38" s="271" t="s">
        <v>122</v>
      </c>
      <c r="D38" s="377">
        <v>1749</v>
      </c>
      <c r="E38" s="280">
        <f>'May 12(2)'!AF18</f>
        <v>2509</v>
      </c>
      <c r="F38" s="273">
        <f t="shared" si="0"/>
        <v>4258</v>
      </c>
    </row>
    <row r="39" spans="1:6" ht="18" customHeight="1">
      <c r="A39" s="490"/>
      <c r="B39" s="479"/>
      <c r="C39" s="257" t="s">
        <v>123</v>
      </c>
      <c r="D39" s="378">
        <v>6132</v>
      </c>
      <c r="E39" s="261">
        <f>'May 12(2)'!T18</f>
        <v>7604</v>
      </c>
      <c r="F39" s="274">
        <f t="shared" si="0"/>
        <v>13736</v>
      </c>
    </row>
    <row r="40" spans="1:6" ht="18" customHeight="1" thickBot="1">
      <c r="A40" s="491"/>
      <c r="B40" s="480"/>
      <c r="C40" s="275" t="s">
        <v>124</v>
      </c>
      <c r="D40" s="379">
        <v>-4383</v>
      </c>
      <c r="E40" s="276">
        <f>E38-E39</f>
        <v>-5095</v>
      </c>
      <c r="F40" s="277">
        <f t="shared" si="0"/>
        <v>-9478</v>
      </c>
    </row>
    <row r="41" spans="1:6" ht="18" customHeight="1">
      <c r="A41" s="489">
        <v>13</v>
      </c>
      <c r="B41" s="478" t="s">
        <v>127</v>
      </c>
      <c r="C41" s="271" t="s">
        <v>122</v>
      </c>
      <c r="D41" s="377">
        <v>4623</v>
      </c>
      <c r="E41" s="280">
        <f>'May 12(2)'!AF19</f>
        <v>195</v>
      </c>
      <c r="F41" s="273">
        <f t="shared" si="0"/>
        <v>4818</v>
      </c>
    </row>
    <row r="42" spans="1:6" ht="18" customHeight="1">
      <c r="A42" s="490"/>
      <c r="B42" s="479"/>
      <c r="C42" s="257" t="s">
        <v>123</v>
      </c>
      <c r="D42" s="378">
        <v>3309</v>
      </c>
      <c r="E42" s="261">
        <f>'May 12(2)'!T19</f>
        <v>1370</v>
      </c>
      <c r="F42" s="274">
        <f t="shared" si="0"/>
        <v>4679</v>
      </c>
    </row>
    <row r="43" spans="1:6" ht="18" customHeight="1" thickBot="1">
      <c r="A43" s="491"/>
      <c r="B43" s="480"/>
      <c r="C43" s="275" t="s">
        <v>124</v>
      </c>
      <c r="D43" s="379">
        <v>1314</v>
      </c>
      <c r="E43" s="276">
        <f>E41-E42</f>
        <v>-1175</v>
      </c>
      <c r="F43" s="277">
        <f t="shared" si="0"/>
        <v>139</v>
      </c>
    </row>
    <row r="44" spans="1:8" ht="18" customHeight="1">
      <c r="A44" s="489">
        <v>14</v>
      </c>
      <c r="B44" s="478" t="s">
        <v>36</v>
      </c>
      <c r="C44" s="271" t="s">
        <v>122</v>
      </c>
      <c r="D44" s="377">
        <v>1234</v>
      </c>
      <c r="E44" s="280">
        <f>'May 12(2)'!AF20</f>
        <v>1560</v>
      </c>
      <c r="F44" s="273">
        <f t="shared" si="0"/>
        <v>2794</v>
      </c>
      <c r="H44" s="264"/>
    </row>
    <row r="45" spans="1:8" ht="18" customHeight="1">
      <c r="A45" s="490"/>
      <c r="B45" s="479"/>
      <c r="C45" s="257" t="s">
        <v>123</v>
      </c>
      <c r="D45" s="378">
        <v>6135</v>
      </c>
      <c r="E45" s="261">
        <f>'May 12(2)'!T20</f>
        <v>6235</v>
      </c>
      <c r="F45" s="274">
        <f t="shared" si="0"/>
        <v>12370</v>
      </c>
      <c r="H45" s="264"/>
    </row>
    <row r="46" spans="1:8" ht="18" customHeight="1" thickBot="1">
      <c r="A46" s="491"/>
      <c r="B46" s="480"/>
      <c r="C46" s="275" t="s">
        <v>124</v>
      </c>
      <c r="D46" s="379">
        <v>-4901</v>
      </c>
      <c r="E46" s="276">
        <f>E44-E45</f>
        <v>-4675</v>
      </c>
      <c r="F46" s="277">
        <f t="shared" si="0"/>
        <v>-9576</v>
      </c>
      <c r="H46" s="264"/>
    </row>
    <row r="47" spans="1:8" ht="18" customHeight="1">
      <c r="A47" s="489">
        <v>15</v>
      </c>
      <c r="B47" s="478" t="s">
        <v>13</v>
      </c>
      <c r="C47" s="271" t="s">
        <v>122</v>
      </c>
      <c r="D47" s="377">
        <v>232</v>
      </c>
      <c r="E47" s="280">
        <f>'May 12(2)'!AF21</f>
        <v>321</v>
      </c>
      <c r="F47" s="273">
        <f t="shared" si="0"/>
        <v>553</v>
      </c>
      <c r="H47" s="264"/>
    </row>
    <row r="48" spans="1:8" ht="18" customHeight="1">
      <c r="A48" s="492"/>
      <c r="B48" s="479"/>
      <c r="C48" s="257" t="s">
        <v>123</v>
      </c>
      <c r="D48" s="378">
        <v>128</v>
      </c>
      <c r="E48" s="261">
        <f>'May 12(2)'!T21</f>
        <v>85</v>
      </c>
      <c r="F48" s="274">
        <f t="shared" si="0"/>
        <v>213</v>
      </c>
      <c r="H48" s="264"/>
    </row>
    <row r="49" spans="1:8" ht="18" customHeight="1" thickBot="1">
      <c r="A49" s="493"/>
      <c r="B49" s="480"/>
      <c r="C49" s="275" t="s">
        <v>124</v>
      </c>
      <c r="D49" s="379">
        <v>104</v>
      </c>
      <c r="E49" s="276">
        <f>E47-E48</f>
        <v>236</v>
      </c>
      <c r="F49" s="277">
        <f t="shared" si="0"/>
        <v>340</v>
      </c>
      <c r="H49" s="264"/>
    </row>
    <row r="50" spans="1:8" ht="18" customHeight="1">
      <c r="A50" s="489">
        <v>16</v>
      </c>
      <c r="B50" s="478" t="s">
        <v>12</v>
      </c>
      <c r="C50" s="271" t="s">
        <v>122</v>
      </c>
      <c r="D50" s="377">
        <v>470</v>
      </c>
      <c r="E50" s="280">
        <f>'May 12(2)'!AF22</f>
        <v>588</v>
      </c>
      <c r="F50" s="273">
        <f t="shared" si="0"/>
        <v>1058</v>
      </c>
      <c r="H50" s="264"/>
    </row>
    <row r="51" spans="1:8" ht="18" customHeight="1">
      <c r="A51" s="490"/>
      <c r="B51" s="479"/>
      <c r="C51" s="257" t="s">
        <v>123</v>
      </c>
      <c r="D51" s="378">
        <v>54</v>
      </c>
      <c r="E51" s="261">
        <f>'May 12(2)'!T22</f>
        <v>49</v>
      </c>
      <c r="F51" s="274">
        <f t="shared" si="0"/>
        <v>103</v>
      </c>
      <c r="H51" s="264"/>
    </row>
    <row r="52" spans="1:8" ht="18" customHeight="1" thickBot="1">
      <c r="A52" s="491"/>
      <c r="B52" s="480"/>
      <c r="C52" s="275" t="s">
        <v>124</v>
      </c>
      <c r="D52" s="379">
        <v>416</v>
      </c>
      <c r="E52" s="276">
        <f>E50-E51</f>
        <v>539</v>
      </c>
      <c r="F52" s="277">
        <f t="shared" si="0"/>
        <v>955</v>
      </c>
      <c r="H52" s="264"/>
    </row>
    <row r="53" spans="1:8" ht="18" customHeight="1">
      <c r="A53" s="489">
        <v>17</v>
      </c>
      <c r="B53" s="478" t="s">
        <v>69</v>
      </c>
      <c r="C53" s="271" t="s">
        <v>122</v>
      </c>
      <c r="D53" s="377">
        <v>304</v>
      </c>
      <c r="E53" s="280">
        <f>'May 12(2)'!AF23</f>
        <v>252</v>
      </c>
      <c r="F53" s="273">
        <f t="shared" si="0"/>
        <v>556</v>
      </c>
      <c r="H53" s="264"/>
    </row>
    <row r="54" spans="1:8" ht="18" customHeight="1">
      <c r="A54" s="490"/>
      <c r="B54" s="479"/>
      <c r="C54" s="257" t="s">
        <v>123</v>
      </c>
      <c r="D54" s="378">
        <v>93</v>
      </c>
      <c r="E54" s="261">
        <f>'May 12(2)'!T23</f>
        <v>148</v>
      </c>
      <c r="F54" s="274">
        <f t="shared" si="0"/>
        <v>241</v>
      </c>
      <c r="H54" s="264"/>
    </row>
    <row r="55" spans="1:8" ht="18" customHeight="1" thickBot="1">
      <c r="A55" s="491"/>
      <c r="B55" s="480"/>
      <c r="C55" s="275" t="s">
        <v>124</v>
      </c>
      <c r="D55" s="379">
        <v>211</v>
      </c>
      <c r="E55" s="276">
        <f>E53-E54</f>
        <v>104</v>
      </c>
      <c r="F55" s="277">
        <f t="shared" si="0"/>
        <v>315</v>
      </c>
      <c r="H55" s="264"/>
    </row>
    <row r="56" spans="1:8" ht="18" customHeight="1">
      <c r="A56" s="489">
        <v>18</v>
      </c>
      <c r="B56" s="478" t="s">
        <v>37</v>
      </c>
      <c r="C56" s="271" t="s">
        <v>122</v>
      </c>
      <c r="D56" s="377">
        <v>516</v>
      </c>
      <c r="E56" s="280">
        <f>'May 12(2)'!AF24</f>
        <v>527</v>
      </c>
      <c r="F56" s="273">
        <f t="shared" si="0"/>
        <v>1043</v>
      </c>
      <c r="H56" s="264"/>
    </row>
    <row r="57" spans="1:8" ht="18" customHeight="1">
      <c r="A57" s="490"/>
      <c r="B57" s="479"/>
      <c r="C57" s="257" t="s">
        <v>123</v>
      </c>
      <c r="D57" s="378">
        <v>1930</v>
      </c>
      <c r="E57" s="261">
        <f>'May 12(2)'!T24</f>
        <v>883</v>
      </c>
      <c r="F57" s="274">
        <f t="shared" si="0"/>
        <v>2813</v>
      </c>
      <c r="H57" s="264"/>
    </row>
    <row r="58" spans="1:8" ht="18" customHeight="1" thickBot="1">
      <c r="A58" s="491"/>
      <c r="B58" s="480"/>
      <c r="C58" s="275" t="s">
        <v>124</v>
      </c>
      <c r="D58" s="379">
        <v>-1414</v>
      </c>
      <c r="E58" s="276">
        <f>E56-E57</f>
        <v>-356</v>
      </c>
      <c r="F58" s="277">
        <f t="shared" si="0"/>
        <v>-1770</v>
      </c>
      <c r="H58" s="264"/>
    </row>
    <row r="59" spans="1:8" ht="18" customHeight="1">
      <c r="A59" s="489">
        <v>19</v>
      </c>
      <c r="B59" s="478" t="s">
        <v>70</v>
      </c>
      <c r="C59" s="271" t="s">
        <v>122</v>
      </c>
      <c r="D59" s="377">
        <v>0</v>
      </c>
      <c r="E59" s="280">
        <f>'May 12(2)'!AF25</f>
        <v>40230</v>
      </c>
      <c r="F59" s="273">
        <f t="shared" si="0"/>
        <v>40230</v>
      </c>
      <c r="H59" s="264"/>
    </row>
    <row r="60" spans="1:8" ht="18" customHeight="1">
      <c r="A60" s="490"/>
      <c r="B60" s="479"/>
      <c r="C60" s="257" t="s">
        <v>123</v>
      </c>
      <c r="D60" s="378">
        <v>10153</v>
      </c>
      <c r="E60" s="261">
        <f>'May 12(2)'!T25</f>
        <v>41278</v>
      </c>
      <c r="F60" s="274">
        <f t="shared" si="0"/>
        <v>51431</v>
      </c>
      <c r="H60" s="264"/>
    </row>
    <row r="61" spans="1:8" ht="18" customHeight="1" thickBot="1">
      <c r="A61" s="491"/>
      <c r="B61" s="480"/>
      <c r="C61" s="275" t="s">
        <v>124</v>
      </c>
      <c r="D61" s="379">
        <v>-10153</v>
      </c>
      <c r="E61" s="276">
        <f>E59-E60</f>
        <v>-1048</v>
      </c>
      <c r="F61" s="277">
        <f t="shared" si="0"/>
        <v>-11201</v>
      </c>
      <c r="H61" s="264"/>
    </row>
    <row r="62" spans="1:8" ht="18" customHeight="1">
      <c r="A62" s="489">
        <v>20</v>
      </c>
      <c r="B62" s="478" t="s">
        <v>71</v>
      </c>
      <c r="C62" s="271" t="s">
        <v>122</v>
      </c>
      <c r="D62" s="377">
        <v>1070</v>
      </c>
      <c r="E62" s="280">
        <f>'May 12(2)'!AF26</f>
        <v>1372</v>
      </c>
      <c r="F62" s="273">
        <f t="shared" si="0"/>
        <v>2442</v>
      </c>
      <c r="H62" s="264"/>
    </row>
    <row r="63" spans="1:6" ht="18" customHeight="1">
      <c r="A63" s="490"/>
      <c r="B63" s="479"/>
      <c r="C63" s="257" t="s">
        <v>123</v>
      </c>
      <c r="D63" s="378">
        <v>180567</v>
      </c>
      <c r="E63" s="261">
        <f>'May 12(2)'!T26</f>
        <v>6155</v>
      </c>
      <c r="F63" s="274">
        <f t="shared" si="0"/>
        <v>186722</v>
      </c>
    </row>
    <row r="64" spans="1:6" ht="18" customHeight="1" thickBot="1">
      <c r="A64" s="491"/>
      <c r="B64" s="480"/>
      <c r="C64" s="275" t="s">
        <v>124</v>
      </c>
      <c r="D64" s="379">
        <v>-179497</v>
      </c>
      <c r="E64" s="276">
        <f>E62-E63</f>
        <v>-4783</v>
      </c>
      <c r="F64" s="277">
        <f t="shared" si="0"/>
        <v>-184280</v>
      </c>
    </row>
    <row r="65" spans="1:6" ht="18" customHeight="1">
      <c r="A65" s="489">
        <v>21</v>
      </c>
      <c r="B65" s="478" t="s">
        <v>72</v>
      </c>
      <c r="C65" s="271" t="s">
        <v>122</v>
      </c>
      <c r="D65" s="377">
        <v>0</v>
      </c>
      <c r="E65" s="280">
        <f>'May 12(2)'!AF27</f>
        <v>410</v>
      </c>
      <c r="F65" s="273">
        <f t="shared" si="0"/>
        <v>410</v>
      </c>
    </row>
    <row r="66" spans="1:6" ht="18" customHeight="1">
      <c r="A66" s="490"/>
      <c r="B66" s="479"/>
      <c r="C66" s="257" t="s">
        <v>123</v>
      </c>
      <c r="D66" s="378">
        <v>2925</v>
      </c>
      <c r="E66" s="261">
        <f>'May 12(2)'!T27</f>
        <v>1587</v>
      </c>
      <c r="F66" s="274">
        <f t="shared" si="0"/>
        <v>4512</v>
      </c>
    </row>
    <row r="67" spans="1:6" ht="18" customHeight="1" thickBot="1">
      <c r="A67" s="491"/>
      <c r="B67" s="480"/>
      <c r="C67" s="275" t="s">
        <v>124</v>
      </c>
      <c r="D67" s="379">
        <v>-2925</v>
      </c>
      <c r="E67" s="276">
        <f>E65-E66</f>
        <v>-1177</v>
      </c>
      <c r="F67" s="277">
        <f t="shared" si="0"/>
        <v>-4102</v>
      </c>
    </row>
    <row r="68" spans="1:6" ht="18" customHeight="1">
      <c r="A68" s="489">
        <v>22</v>
      </c>
      <c r="B68" s="478" t="s">
        <v>7</v>
      </c>
      <c r="C68" s="271" t="s">
        <v>122</v>
      </c>
      <c r="D68" s="377">
        <v>1062</v>
      </c>
      <c r="E68" s="280">
        <f>'May 12(2)'!AF28</f>
        <v>1317</v>
      </c>
      <c r="F68" s="273">
        <f t="shared" si="0"/>
        <v>2379</v>
      </c>
    </row>
    <row r="69" spans="1:6" ht="18" customHeight="1">
      <c r="A69" s="490"/>
      <c r="B69" s="479"/>
      <c r="C69" s="257" t="s">
        <v>123</v>
      </c>
      <c r="D69" s="378">
        <v>7854</v>
      </c>
      <c r="E69" s="261">
        <f>'May 12(2)'!T28</f>
        <v>4615</v>
      </c>
      <c r="F69" s="274">
        <f t="shared" si="0"/>
        <v>12469</v>
      </c>
    </row>
    <row r="70" spans="1:6" ht="18" customHeight="1" thickBot="1">
      <c r="A70" s="491"/>
      <c r="B70" s="480"/>
      <c r="C70" s="275" t="s">
        <v>124</v>
      </c>
      <c r="D70" s="379">
        <v>-6792</v>
      </c>
      <c r="E70" s="276">
        <f>E68-E69</f>
        <v>-3298</v>
      </c>
      <c r="F70" s="277">
        <f aca="true" t="shared" si="1" ref="F70:F85">SUM(D70:E70)</f>
        <v>-10090</v>
      </c>
    </row>
    <row r="71" spans="1:6" ht="18" customHeight="1">
      <c r="A71" s="489">
        <v>23</v>
      </c>
      <c r="B71" s="478" t="s">
        <v>8</v>
      </c>
      <c r="C71" s="271" t="s">
        <v>122</v>
      </c>
      <c r="D71" s="377">
        <v>285</v>
      </c>
      <c r="E71" s="280">
        <f>'May 12(2)'!AF29</f>
        <v>300</v>
      </c>
      <c r="F71" s="273">
        <f t="shared" si="1"/>
        <v>585</v>
      </c>
    </row>
    <row r="72" spans="1:6" ht="18" customHeight="1">
      <c r="A72" s="490"/>
      <c r="B72" s="479"/>
      <c r="C72" s="257" t="s">
        <v>123</v>
      </c>
      <c r="D72" s="378">
        <v>262</v>
      </c>
      <c r="E72" s="261">
        <f>'May 12(2)'!T29</f>
        <v>1368</v>
      </c>
      <c r="F72" s="274">
        <f t="shared" si="1"/>
        <v>1630</v>
      </c>
    </row>
    <row r="73" spans="1:8" ht="18" customHeight="1" thickBot="1">
      <c r="A73" s="491"/>
      <c r="B73" s="480"/>
      <c r="C73" s="275" t="s">
        <v>124</v>
      </c>
      <c r="D73" s="379">
        <v>23</v>
      </c>
      <c r="E73" s="276">
        <f>E71-E72</f>
        <v>-1068</v>
      </c>
      <c r="F73" s="277">
        <f t="shared" si="1"/>
        <v>-1045</v>
      </c>
      <c r="H73" s="264"/>
    </row>
    <row r="74" spans="1:8" ht="18" customHeight="1">
      <c r="A74" s="489">
        <v>24</v>
      </c>
      <c r="B74" s="478" t="s">
        <v>40</v>
      </c>
      <c r="C74" s="271" t="s">
        <v>122</v>
      </c>
      <c r="D74" s="377">
        <v>14518</v>
      </c>
      <c r="E74" s="280">
        <f>'May 12(2)'!AF30</f>
        <v>397</v>
      </c>
      <c r="F74" s="273">
        <f t="shared" si="1"/>
        <v>14915</v>
      </c>
      <c r="H74" s="264"/>
    </row>
    <row r="75" spans="1:8" ht="18" customHeight="1">
      <c r="A75" s="490"/>
      <c r="B75" s="479"/>
      <c r="C75" s="257" t="s">
        <v>123</v>
      </c>
      <c r="D75" s="378">
        <v>4140</v>
      </c>
      <c r="E75" s="261">
        <f>'May 12(2)'!T30</f>
        <v>103</v>
      </c>
      <c r="F75" s="274">
        <f t="shared" si="1"/>
        <v>4243</v>
      </c>
      <c r="H75" s="264"/>
    </row>
    <row r="76" spans="1:8" ht="18" customHeight="1" thickBot="1">
      <c r="A76" s="491"/>
      <c r="B76" s="480"/>
      <c r="C76" s="275" t="s">
        <v>124</v>
      </c>
      <c r="D76" s="379">
        <v>10378</v>
      </c>
      <c r="E76" s="276">
        <f>E74-E75</f>
        <v>294</v>
      </c>
      <c r="F76" s="277">
        <f t="shared" si="1"/>
        <v>10672</v>
      </c>
      <c r="H76" s="264"/>
    </row>
    <row r="77" spans="1:8" ht="18" customHeight="1">
      <c r="A77" s="489">
        <v>25</v>
      </c>
      <c r="B77" s="478" t="s">
        <v>9</v>
      </c>
      <c r="C77" s="271" t="s">
        <v>122</v>
      </c>
      <c r="D77" s="377">
        <v>321</v>
      </c>
      <c r="E77" s="280">
        <f>'May 12(2)'!AF31</f>
        <v>264</v>
      </c>
      <c r="F77" s="273">
        <f t="shared" si="1"/>
        <v>585</v>
      </c>
      <c r="H77" s="264"/>
    </row>
    <row r="78" spans="1:8" ht="18" customHeight="1">
      <c r="A78" s="490"/>
      <c r="B78" s="479"/>
      <c r="C78" s="257" t="s">
        <v>123</v>
      </c>
      <c r="D78" s="378">
        <v>352</v>
      </c>
      <c r="E78" s="261">
        <f>'May 12(2)'!T31</f>
        <v>414</v>
      </c>
      <c r="F78" s="274">
        <f t="shared" si="1"/>
        <v>766</v>
      </c>
      <c r="H78" s="264"/>
    </row>
    <row r="79" spans="1:8" ht="18" customHeight="1" thickBot="1">
      <c r="A79" s="491"/>
      <c r="B79" s="480"/>
      <c r="C79" s="275" t="s">
        <v>124</v>
      </c>
      <c r="D79" s="379">
        <v>-31</v>
      </c>
      <c r="E79" s="276">
        <f>E77-E78</f>
        <v>-150</v>
      </c>
      <c r="F79" s="277">
        <f t="shared" si="1"/>
        <v>-181</v>
      </c>
      <c r="H79" s="264"/>
    </row>
    <row r="80" spans="1:8" ht="18" customHeight="1">
      <c r="A80" s="489">
        <v>26</v>
      </c>
      <c r="B80" s="478" t="s">
        <v>10</v>
      </c>
      <c r="C80" s="271" t="s">
        <v>122</v>
      </c>
      <c r="D80" s="377">
        <v>174</v>
      </c>
      <c r="E80" s="280">
        <f>'May 12(2)'!AF32</f>
        <v>190</v>
      </c>
      <c r="F80" s="273">
        <f t="shared" si="1"/>
        <v>364</v>
      </c>
      <c r="H80" s="358"/>
    </row>
    <row r="81" spans="1:8" ht="18" customHeight="1">
      <c r="A81" s="490"/>
      <c r="B81" s="479"/>
      <c r="C81" s="257" t="s">
        <v>123</v>
      </c>
      <c r="D81" s="378">
        <v>784</v>
      </c>
      <c r="E81" s="261">
        <f>'May 12(2)'!T32</f>
        <v>673</v>
      </c>
      <c r="F81" s="274">
        <f t="shared" si="1"/>
        <v>1457</v>
      </c>
      <c r="H81" s="264"/>
    </row>
    <row r="82" spans="1:6" ht="18" customHeight="1" thickBot="1">
      <c r="A82" s="491"/>
      <c r="B82" s="480"/>
      <c r="C82" s="275" t="s">
        <v>124</v>
      </c>
      <c r="D82" s="379">
        <v>-610</v>
      </c>
      <c r="E82" s="276">
        <f>E80-E81</f>
        <v>-483</v>
      </c>
      <c r="F82" s="277">
        <f t="shared" si="1"/>
        <v>-1093</v>
      </c>
    </row>
    <row r="83" spans="1:6" s="265" customFormat="1" ht="18" customHeight="1">
      <c r="A83" s="494"/>
      <c r="B83" s="481" t="s">
        <v>11</v>
      </c>
      <c r="C83" s="271" t="s">
        <v>122</v>
      </c>
      <c r="D83" s="377">
        <v>34548</v>
      </c>
      <c r="E83" s="272">
        <f>E5+E8+E11+E14+E17+E20+E23+E26+E29+E32+E35+E38+E41+E44+E47+E50+E53+E56+E59+E62+E65+E68+E71+E74+E77+E80</f>
        <v>61406</v>
      </c>
      <c r="F83" s="273">
        <f>SUM(D83:E83)</f>
        <v>95954</v>
      </c>
    </row>
    <row r="84" spans="1:6" s="265" customFormat="1" ht="18" customHeight="1">
      <c r="A84" s="495"/>
      <c r="B84" s="482"/>
      <c r="C84" s="257" t="s">
        <v>123</v>
      </c>
      <c r="D84" s="378">
        <v>393832</v>
      </c>
      <c r="E84" s="258">
        <f>E6+E9+E12+E15+E18+E21+E24+E27+E30+E33+E36+E39+E42+E45+E48+E51+E54+E57+E60+E63+E66+E69+E72+E75+E78+E81</f>
        <v>120696</v>
      </c>
      <c r="F84" s="274">
        <f t="shared" si="1"/>
        <v>514528</v>
      </c>
    </row>
    <row r="85" spans="1:6" s="265" customFormat="1" ht="18" customHeight="1" thickBot="1">
      <c r="A85" s="496"/>
      <c r="B85" s="483"/>
      <c r="C85" s="275" t="s">
        <v>124</v>
      </c>
      <c r="D85" s="379">
        <v>-359284</v>
      </c>
      <c r="E85" s="276">
        <f>E83-E84</f>
        <v>-59290</v>
      </c>
      <c r="F85" s="277">
        <f t="shared" si="1"/>
        <v>-418574</v>
      </c>
    </row>
    <row r="86" spans="1:6" ht="15">
      <c r="A86" s="472" t="s">
        <v>149</v>
      </c>
      <c r="B86" s="473"/>
      <c r="C86" s="278" t="s">
        <v>122</v>
      </c>
      <c r="D86" s="380">
        <v>0.034548</v>
      </c>
      <c r="E86" s="296">
        <f aca="true" t="shared" si="2" ref="E86:F88">E83/1000000</f>
        <v>0.061406</v>
      </c>
      <c r="F86" s="297">
        <f>F83/1000000</f>
        <v>0.095954</v>
      </c>
    </row>
    <row r="87" spans="1:6" ht="15">
      <c r="A87" s="474"/>
      <c r="B87" s="475"/>
      <c r="C87" s="259" t="s">
        <v>123</v>
      </c>
      <c r="D87" s="137">
        <v>0.393832</v>
      </c>
      <c r="E87" s="184">
        <f t="shared" si="2"/>
        <v>0.120696</v>
      </c>
      <c r="F87" s="298">
        <f t="shared" si="2"/>
        <v>0.514528</v>
      </c>
    </row>
    <row r="88" spans="1:6" ht="15.75" thickBot="1">
      <c r="A88" s="476"/>
      <c r="B88" s="477"/>
      <c r="C88" s="279" t="s">
        <v>124</v>
      </c>
      <c r="D88" s="381">
        <v>-0.359284</v>
      </c>
      <c r="E88" s="299">
        <f t="shared" si="2"/>
        <v>-0.05929</v>
      </c>
      <c r="F88" s="300">
        <f t="shared" si="2"/>
        <v>-0.418574</v>
      </c>
    </row>
    <row r="89" spans="1:6" ht="15">
      <c r="A89" s="134"/>
      <c r="E89" s="134"/>
      <c r="F89" s="134"/>
    </row>
    <row r="90" ht="15" customHeight="1"/>
    <row r="91" ht="15" customHeight="1"/>
    <row r="92" spans="5:6" ht="15" customHeight="1">
      <c r="E92" s="146"/>
      <c r="F92" s="263"/>
    </row>
    <row r="93" spans="5:6" ht="15" customHeight="1">
      <c r="E93" s="146"/>
      <c r="F93" s="263"/>
    </row>
    <row r="94" spans="2:6" ht="15" customHeight="1">
      <c r="B94" s="263"/>
      <c r="C94" s="263"/>
      <c r="D94" s="263"/>
      <c r="E94" s="146"/>
      <c r="F94" s="263"/>
    </row>
    <row r="95" spans="2:6" ht="15">
      <c r="B95" s="263"/>
      <c r="C95" s="263"/>
      <c r="D95" s="263"/>
      <c r="E95" s="263"/>
      <c r="F95" s="263"/>
    </row>
    <row r="96" spans="2:6" ht="15">
      <c r="B96" s="263"/>
      <c r="C96" s="263"/>
      <c r="D96" s="263"/>
      <c r="E96" s="263"/>
      <c r="F96" s="263"/>
    </row>
    <row r="97" spans="2:6" ht="15">
      <c r="B97" s="263"/>
      <c r="C97" s="263"/>
      <c r="D97" s="263"/>
      <c r="E97" s="263"/>
      <c r="F97" s="263"/>
    </row>
    <row r="98" spans="2:6" ht="15">
      <c r="B98" s="263"/>
      <c r="C98" s="263"/>
      <c r="D98" s="263"/>
      <c r="E98" s="263"/>
      <c r="F98" s="263"/>
    </row>
    <row r="99" spans="2:6" ht="15">
      <c r="B99" s="263"/>
      <c r="C99" s="263"/>
      <c r="D99" s="263"/>
      <c r="E99" s="263"/>
      <c r="F99" s="263"/>
    </row>
    <row r="100" spans="2:6" ht="15">
      <c r="B100" s="263"/>
      <c r="C100" s="263"/>
      <c r="D100" s="263"/>
      <c r="E100" s="263"/>
      <c r="F100" s="263"/>
    </row>
    <row r="101" spans="5:6" ht="15">
      <c r="E101" s="263"/>
      <c r="F101" s="263"/>
    </row>
  </sheetData>
  <sheetProtection/>
  <mergeCells count="55">
    <mergeCell ref="A53:A55"/>
    <mergeCell ref="A56:A58"/>
    <mergeCell ref="A77:A79"/>
    <mergeCell ref="A80:A82"/>
    <mergeCell ref="A59:A61"/>
    <mergeCell ref="A62:A64"/>
    <mergeCell ref="A65:A67"/>
    <mergeCell ref="A68:A70"/>
    <mergeCell ref="A71:A73"/>
    <mergeCell ref="A74:A76"/>
    <mergeCell ref="A41:A43"/>
    <mergeCell ref="A44:A46"/>
    <mergeCell ref="A47:A49"/>
    <mergeCell ref="A50:A52"/>
    <mergeCell ref="A29:A31"/>
    <mergeCell ref="A32:A34"/>
    <mergeCell ref="A35:A37"/>
    <mergeCell ref="A38:A40"/>
    <mergeCell ref="A17:A19"/>
    <mergeCell ref="A20:A22"/>
    <mergeCell ref="A23:A25"/>
    <mergeCell ref="A26:A28"/>
    <mergeCell ref="A5:A7"/>
    <mergeCell ref="A8:A10"/>
    <mergeCell ref="A11:A13"/>
    <mergeCell ref="A14:A16"/>
    <mergeCell ref="B35:B37"/>
    <mergeCell ref="B38:B40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71:B73"/>
    <mergeCell ref="B74:B76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A86:B88"/>
    <mergeCell ref="B77:B79"/>
    <mergeCell ref="B80:B82"/>
    <mergeCell ref="B83:B85"/>
    <mergeCell ref="A83:A85"/>
  </mergeCells>
  <conditionalFormatting sqref="N5:N82">
    <cfRule type="top10" priority="3" dxfId="3" stopIfTrue="1" rank="5" bottom="1"/>
    <cfRule type="top10" priority="4" dxfId="0" stopIfTrue="1" rank="5"/>
  </conditionalFormatting>
  <conditionalFormatting sqref="K5:K82">
    <cfRule type="top10" priority="1" dxfId="1" stopIfTrue="1" rank="10"/>
    <cfRule type="top10" priority="2" dxfId="0" stopIfTrue="1" rank="5"/>
  </conditionalFormatting>
  <printOptions/>
  <pageMargins left="0.5118110236220472" right="0.11811023622047245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sdecomputer</cp:lastModifiedBy>
  <cp:lastPrinted>2012-06-25T12:21:14Z</cp:lastPrinted>
  <dcterms:created xsi:type="dcterms:W3CDTF">1996-10-14T23:33:28Z</dcterms:created>
  <dcterms:modified xsi:type="dcterms:W3CDTF">2012-06-30T06:59:07Z</dcterms:modified>
  <cp:category/>
  <cp:version/>
  <cp:contentType/>
  <cp:contentStatus/>
</cp:coreProperties>
</file>